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showInkAnnotation="0" defaultThemeVersion="124226"/>
  <bookViews>
    <workbookView xWindow="120" yWindow="888" windowWidth="15120" windowHeight="7236" activeTab="1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45621"/>
</workbook>
</file>

<file path=xl/calcChain.xml><?xml version="1.0" encoding="utf-8"?>
<calcChain xmlns="http://schemas.openxmlformats.org/spreadsheetml/2006/main">
  <c r="H106" i="1"/>
  <c r="G106"/>
  <c r="F106"/>
  <c r="H154"/>
  <c r="G154"/>
  <c r="F154"/>
  <c r="E154"/>
  <c r="H153" l="1"/>
  <c r="G153"/>
  <c r="F153"/>
  <c r="E153"/>
  <c r="H152"/>
  <c r="G152"/>
  <c r="F152"/>
  <c r="E152"/>
  <c r="H151"/>
  <c r="F151"/>
  <c r="G151"/>
  <c r="E151"/>
  <c r="H156"/>
  <c r="G156"/>
  <c r="F156"/>
  <c r="E156"/>
  <c r="D157"/>
  <c r="D151"/>
  <c r="D110"/>
  <c r="D111" s="1"/>
  <c r="D104"/>
  <c r="D100"/>
  <c r="D102"/>
  <c r="E84"/>
  <c r="E86"/>
  <c r="F86" s="1"/>
  <c r="G86" s="1"/>
  <c r="H86" s="1"/>
  <c r="E23"/>
  <c r="D53"/>
  <c r="D26" s="1"/>
  <c r="D23"/>
  <c r="D54" s="1"/>
  <c r="D27" s="1"/>
  <c r="H10"/>
  <c r="G10"/>
  <c r="F10"/>
  <c r="E10"/>
  <c r="H11"/>
  <c r="D11"/>
  <c r="E11"/>
  <c r="G11"/>
  <c r="F11"/>
  <c r="D16"/>
  <c r="H14"/>
  <c r="G14"/>
  <c r="F14"/>
  <c r="E14"/>
  <c r="H7"/>
  <c r="G7"/>
  <c r="F7"/>
  <c r="F12" i="20" l="1"/>
  <c r="G12"/>
  <c r="H12"/>
  <c r="E12"/>
  <c r="F9"/>
  <c r="G9"/>
  <c r="H9"/>
  <c r="E9"/>
  <c r="D97"/>
  <c r="D17"/>
  <c r="D18"/>
  <c r="D19"/>
  <c r="D20"/>
  <c r="D97" i="1"/>
  <c r="E12"/>
  <c r="E15" s="1"/>
  <c r="F12"/>
  <c r="F15" s="1"/>
  <c r="G12"/>
  <c r="G15" s="1"/>
  <c r="G16" s="1"/>
  <c r="H12"/>
  <c r="H15" s="1"/>
  <c r="H16" s="1"/>
  <c r="F9"/>
  <c r="G9"/>
  <c r="H9"/>
  <c r="E9"/>
  <c r="D13" i="20"/>
  <c r="E24" i="1" l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F84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F35"/>
  <c r="G35" s="1"/>
  <c r="H35" s="1"/>
  <c r="E35"/>
  <c r="E33"/>
  <c r="F33" s="1"/>
  <c r="G33" s="1"/>
  <c r="H33" s="1"/>
  <c r="E31"/>
  <c r="F31" s="1"/>
  <c r="G31" s="1"/>
  <c r="H31" s="1"/>
  <c r="E29"/>
  <c r="F29" s="1"/>
  <c r="G29" s="1"/>
  <c r="H29" s="1"/>
  <c r="H104" i="20"/>
  <c r="G104"/>
  <c r="F104"/>
  <c r="E104"/>
  <c r="G84" i="1" l="1"/>
  <c r="F69"/>
  <c r="E26"/>
  <c r="F27" s="1"/>
  <c r="H84" l="1"/>
  <c r="G69"/>
  <c r="H69" l="1"/>
  <c r="D131" i="20" l="1"/>
  <c r="H131"/>
  <c r="G131"/>
  <c r="F131"/>
  <c r="E131"/>
  <c r="H111"/>
  <c r="G111"/>
  <c r="F111"/>
  <c r="E111"/>
  <c r="H102"/>
  <c r="G102"/>
  <c r="F102"/>
  <c r="E102"/>
  <c r="H100"/>
  <c r="G100"/>
  <c r="F100"/>
  <c r="E100"/>
  <c r="H90"/>
  <c r="G90"/>
  <c r="F90"/>
  <c r="E90"/>
  <c r="H87"/>
  <c r="G87"/>
  <c r="F87"/>
  <c r="E87"/>
  <c r="H85"/>
  <c r="G85"/>
  <c r="F85"/>
  <c r="E85"/>
  <c r="H80"/>
  <c r="G80"/>
  <c r="F80"/>
  <c r="E80"/>
  <c r="H78"/>
  <c r="G78"/>
  <c r="F78"/>
  <c r="E78"/>
  <c r="H76"/>
  <c r="G76"/>
  <c r="F76"/>
  <c r="E76"/>
  <c r="H74"/>
  <c r="G74"/>
  <c r="F74"/>
  <c r="E74"/>
  <c r="H72"/>
  <c r="G72"/>
  <c r="F72"/>
  <c r="E72"/>
  <c r="H70"/>
  <c r="G70"/>
  <c r="F70"/>
  <c r="E70"/>
  <c r="H68"/>
  <c r="G68"/>
  <c r="F68"/>
  <c r="E68"/>
  <c r="H66"/>
  <c r="G66"/>
  <c r="F66"/>
  <c r="E66"/>
  <c r="H64"/>
  <c r="G64"/>
  <c r="F64"/>
  <c r="E64"/>
  <c r="H62"/>
  <c r="G62"/>
  <c r="F62"/>
  <c r="E62"/>
  <c r="H60"/>
  <c r="G60"/>
  <c r="F60"/>
  <c r="E60"/>
  <c r="H58"/>
  <c r="G58"/>
  <c r="F58"/>
  <c r="E58"/>
  <c r="H56"/>
  <c r="G56"/>
  <c r="F56"/>
  <c r="E56"/>
  <c r="H54"/>
  <c r="G54"/>
  <c r="F54"/>
  <c r="E54"/>
  <c r="H52"/>
  <c r="G52"/>
  <c r="F52"/>
  <c r="E52"/>
  <c r="H50"/>
  <c r="G50"/>
  <c r="F50"/>
  <c r="E50"/>
  <c r="H48"/>
  <c r="G48"/>
  <c r="F48"/>
  <c r="E48"/>
  <c r="H46"/>
  <c r="G46"/>
  <c r="F46"/>
  <c r="E46"/>
  <c r="H44"/>
  <c r="G44"/>
  <c r="F44"/>
  <c r="E44"/>
  <c r="H42"/>
  <c r="G42"/>
  <c r="F42"/>
  <c r="E42"/>
  <c r="H40"/>
  <c r="G40"/>
  <c r="F40"/>
  <c r="E40"/>
  <c r="H38"/>
  <c r="G38"/>
  <c r="F38"/>
  <c r="E38"/>
  <c r="H36"/>
  <c r="G36"/>
  <c r="F36"/>
  <c r="E36"/>
  <c r="H34"/>
  <c r="G34"/>
  <c r="F34"/>
  <c r="E34"/>
  <c r="H32"/>
  <c r="G32"/>
  <c r="F32"/>
  <c r="E32"/>
  <c r="H30"/>
  <c r="G30"/>
  <c r="F30"/>
  <c r="E30"/>
  <c r="H158" l="1"/>
  <c r="G158"/>
  <c r="F158"/>
  <c r="E158"/>
  <c r="H157"/>
  <c r="G157"/>
  <c r="F157"/>
  <c r="E157"/>
  <c r="H142"/>
  <c r="H141" s="1"/>
  <c r="H148" s="1"/>
  <c r="G142"/>
  <c r="G141" s="1"/>
  <c r="G148" s="1"/>
  <c r="F142"/>
  <c r="F141" s="1"/>
  <c r="F148" s="1"/>
  <c r="E142"/>
  <c r="E141" s="1"/>
  <c r="E148" s="1"/>
  <c r="D142"/>
  <c r="D141" s="1"/>
  <c r="D148" s="1"/>
  <c r="H135"/>
  <c r="G135"/>
  <c r="F135"/>
  <c r="E135"/>
  <c r="D135"/>
  <c r="D132"/>
  <c r="D134" s="1"/>
  <c r="E132"/>
  <c r="E134" s="1"/>
  <c r="H97"/>
  <c r="G97"/>
  <c r="F97"/>
  <c r="E97"/>
  <c r="D82"/>
  <c r="D26"/>
  <c r="D22" s="1"/>
  <c r="E7"/>
  <c r="F7" s="1"/>
  <c r="E139" l="1"/>
  <c r="D139"/>
  <c r="E13"/>
  <c r="E18" s="1"/>
  <c r="G26"/>
  <c r="F26"/>
  <c r="E26"/>
  <c r="E27" s="1"/>
  <c r="E82"/>
  <c r="E83" s="1"/>
  <c r="F82"/>
  <c r="G7"/>
  <c r="F13" s="1"/>
  <c r="F83" l="1"/>
  <c r="G27"/>
  <c r="F27"/>
  <c r="E20"/>
  <c r="E17"/>
  <c r="E19" s="1"/>
  <c r="H26"/>
  <c r="H27" s="1"/>
  <c r="F20"/>
  <c r="F17"/>
  <c r="F18"/>
  <c r="F132"/>
  <c r="F134" s="1"/>
  <c r="F139" s="1"/>
  <c r="H7"/>
  <c r="H13" s="1"/>
  <c r="H158" i="1"/>
  <c r="G158"/>
  <c r="F158"/>
  <c r="E158"/>
  <c r="H20" i="20" l="1"/>
  <c r="H18"/>
  <c r="H17"/>
  <c r="F19"/>
  <c r="G132"/>
  <c r="G134" s="1"/>
  <c r="G139" s="1"/>
  <c r="H132"/>
  <c r="H134" s="1"/>
  <c r="H139" s="1"/>
  <c r="G13"/>
  <c r="H19" l="1"/>
  <c r="H82"/>
  <c r="G82"/>
  <c r="G83" s="1"/>
  <c r="G20"/>
  <c r="G18"/>
  <c r="G17"/>
  <c r="E157" i="1"/>
  <c r="G19" i="20" l="1"/>
  <c r="H83"/>
  <c r="D135" i="1" l="1"/>
  <c r="D132"/>
  <c r="D13"/>
  <c r="D133" l="1"/>
  <c r="D134" s="1"/>
  <c r="D139" s="1"/>
  <c r="D20"/>
  <c r="D18"/>
  <c r="D17"/>
  <c r="E22"/>
  <c r="D82"/>
  <c r="E83" s="1"/>
  <c r="D19" l="1"/>
  <c r="F26"/>
  <c r="G26"/>
  <c r="H27" s="1"/>
  <c r="E82"/>
  <c r="F83" s="1"/>
  <c r="F22" l="1"/>
  <c r="G27"/>
  <c r="G22"/>
  <c r="F82"/>
  <c r="G83" s="1"/>
  <c r="H82"/>
  <c r="E135"/>
  <c r="F135"/>
  <c r="G135"/>
  <c r="H135"/>
  <c r="H26" l="1"/>
  <c r="H22" s="1"/>
  <c r="G82"/>
  <c r="H83" s="1"/>
  <c r="H148" l="1"/>
  <c r="D148"/>
  <c r="E148"/>
  <c r="F148"/>
  <c r="G148"/>
  <c r="E97" l="1"/>
  <c r="F97"/>
  <c r="G97"/>
  <c r="H97"/>
  <c r="E13" l="1"/>
  <c r="E132" l="1"/>
  <c r="E134" l="1"/>
  <c r="E139" s="1"/>
  <c r="E133"/>
  <c r="E20"/>
  <c r="E17"/>
  <c r="E18"/>
  <c r="F13"/>
  <c r="H13"/>
  <c r="F132"/>
  <c r="F134" l="1"/>
  <c r="F139" s="1"/>
  <c r="F133"/>
  <c r="E19"/>
  <c r="G13"/>
  <c r="F18"/>
  <c r="F17"/>
  <c r="F20"/>
  <c r="F23"/>
  <c r="G132"/>
  <c r="G134" l="1"/>
  <c r="G139" s="1"/>
  <c r="G133"/>
  <c r="G20"/>
  <c r="G18"/>
  <c r="G17"/>
  <c r="F19"/>
  <c r="H18"/>
  <c r="H17"/>
  <c r="H20"/>
  <c r="G23"/>
  <c r="H132"/>
  <c r="H23"/>
  <c r="H134" l="1"/>
  <c r="H139" s="1"/>
  <c r="H133"/>
  <c r="G19"/>
  <c r="H19"/>
  <c r="G25" i="20" l="1"/>
  <c r="F25"/>
  <c r="E22"/>
  <c r="E23" s="1"/>
  <c r="H22"/>
  <c r="H25"/>
  <c r="F22"/>
  <c r="F23"/>
  <c r="E25"/>
  <c r="G22"/>
  <c r="G23" s="1"/>
  <c r="H23" l="1"/>
  <c r="D12" i="1"/>
</calcChain>
</file>

<file path=xl/sharedStrings.xml><?xml version="1.0" encoding="utf-8"?>
<sst xmlns="http://schemas.openxmlformats.org/spreadsheetml/2006/main" count="856" uniqueCount="267">
  <si>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</si>
  <si>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</si>
  <si>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</si>
  <si>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</si>
  <si>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</si>
  <si>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</si>
  <si>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</si>
  <si>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</si>
  <si>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</si>
  <si>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</si>
  <si>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</si>
  <si>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</si>
  <si>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</si>
  <si>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</si>
  <si>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</si>
  <si>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</si>
  <si>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</si>
  <si>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</si>
  <si>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</si>
  <si>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</si>
  <si>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</si>
  <si>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</si>
  <si>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</si>
  <si>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</si>
  <si>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</si>
  <si>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</si>
  <si>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</si>
  <si>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</si>
  <si>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</si>
  <si>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</si>
  <si>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</si>
  <si>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</si>
  <si>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</si>
  <si>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</si>
  <si>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</si>
  <si>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</si>
  <si>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</si>
  <si>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</si>
  <si>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</si>
  <si>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</si>
  <si>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</si>
  <si>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</si>
  <si>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</si>
  <si>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</si>
  <si>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</si>
  <si>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</si>
  <si>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</si>
  <si>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</si>
  <si>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</si>
  <si>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</si>
  <si>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</si>
  <si>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</si>
  <si>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</si>
  <si>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</si>
  <si>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</si>
  <si>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</si>
  <si>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</si>
  <si>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</si>
  <si>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</si>
  <si>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</si>
  <si>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</si>
  <si>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</si>
  <si>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</si>
  <si>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</si>
  <si>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</si>
  <si>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</si>
  <si>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</si>
  <si>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</si>
  <si>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</si>
  <si>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</si>
  <si>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</si>
  <si>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</si>
  <si>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</si>
  <si>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</si>
  <si>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</si>
  <si>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</si>
  <si>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</si>
  <si>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</si>
  <si>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</si>
  <si>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</si>
  <si>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</si>
  <si>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</si>
  <si>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</si>
  <si>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</si>
  <si>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</si>
  <si>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</si>
  <si>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</si>
  <si>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</si>
  <si>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</si>
  <si>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</si>
  <si>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</si>
  <si>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</si>
  <si>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</si>
  <si>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</si>
  <si>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</si>
  <si>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</si>
  <si>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</si>
  <si>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</si>
  <si>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</si>
  <si>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</si>
  <si>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</si>
  <si>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</si>
  <si>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</si>
  <si>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</si>
  <si>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</si>
  <si>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</si>
  <si>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</si>
  <si>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</si>
  <si>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</si>
  <si>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</si>
  <si>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</si>
  <si>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</si>
  <si>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</si>
  <si>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</si>
  <si>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</si>
  <si>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</si>
  <si>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</si>
  <si>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</si>
  <si>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</si>
  <si>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</si>
  <si>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</si>
  <si>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</si>
  <si>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</si>
  <si>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</si>
  <si>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</si>
  <si>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</si>
  <si>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</si>
  <si>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</si>
  <si>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</si>
  <si>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</si>
  <si>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</si>
  <si>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</si>
  <si>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</si>
  <si>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</si>
  <si>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</si>
  <si>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</si>
  <si>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</si>
  <si>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</si>
  <si>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</si>
  <si>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</si>
  <si>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</si>
  <si>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</si>
  <si>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</si>
  <si>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</si>
  <si>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</si>
  <si>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</si>
  <si>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</si>
  <si>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</si>
  <si>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</si>
  <si>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</si>
  <si>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</si>
  <si>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</si>
  <si>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</si>
  <si>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</si>
  <si>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</si>
  <si>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</si>
  <si>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</si>
  <si>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</si>
  <si>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</si>
  <si>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</si>
  <si>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</si>
  <si>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</si>
  <si>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</si>
  <si>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</si>
  <si>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</si>
  <si>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</si>
  <si>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</si>
  <si>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</si>
  <si>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</si>
  <si>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</si>
  <si>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</si>
  <si>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</si>
  <si>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</si>
  <si>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</si>
  <si>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</si>
  <si>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</si>
  <si>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</si>
  <si>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</si>
  <si>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</si>
  <si>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</si>
  <si>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</si>
  <si>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</si>
  <si>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</si>
  <si>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</si>
  <si>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</si>
  <si>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</si>
  <si>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</si>
  <si>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</si>
  <si>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</si>
  <si>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</si>
  <si>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</si>
  <si>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</si>
  <si>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</si>
  <si>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</si>
  <si>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</si>
  <si>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</si>
  <si>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</si>
  <si>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</si>
  <si>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</si>
  <si>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</si>
  <si>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</si>
  <si>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</si>
  <si>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</si>
  <si>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</si>
  <si>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</si>
  <si>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</si>
  <si>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</si>
  <si>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</si>
  <si>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</si>
  <si>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</si>
  <si>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</si>
  <si>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</si>
  <si>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</si>
  <si>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</si>
  <si>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</si>
  <si>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</si>
  <si>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</si>
  <si>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</si>
  <si>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</si>
  <si>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</si>
  <si>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</si>
  <si>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</si>
  <si>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</si>
  <si>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</si>
  <si>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</si>
  <si>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</si>
  <si>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</si>
  <si>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</si>
  <si>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</si>
  <si>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</si>
  <si>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</si>
  <si>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</si>
  <si>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</si>
  <si>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</si>
  <si>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</si>
  <si>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</si>
  <si>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</si>
  <si>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</si>
  <si>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</si>
  <si>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</si>
  <si>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</si>
  <si>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</si>
  <si>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</si>
  <si>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</si>
  <si>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</si>
  <si>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</si>
  <si>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</si>
  <si>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</si>
  <si>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</si>
  <si>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</si>
  <si>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</si>
  <si>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</si>
  <si>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</si>
  <si>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</si>
  <si>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</si>
  <si>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</si>
  <si>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</si>
  <si>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</si>
  <si>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</si>
  <si>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</si>
  <si>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</si>
  <si>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</si>
  <si>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</si>
  <si>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</si>
  <si>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</si>
  <si>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</si>
  <si>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>МО Сосновское сельское поселение МО Приозерский муниципальный район ЛО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</si>
</sst>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_)"/>
    <numFmt numFmtId="166" formatCode="#,##0.0"/>
    <numFmt numFmtId="167" formatCode="#,##0.00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7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3" fontId="7" fillId="0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topLeftCell="A31" workbookViewId="0">
      <selection activeCell="C40" sqref="C40:F41"/>
    </sheetView>
  </sheetViews>
  <sheetFormatPr defaultColWidth="9.109375" defaultRowHeight="15.6"/>
  <cols>
    <col min="1" max="1" width="12.109375" style="1" customWidth="1"/>
    <col min="2" max="2" width="64.88671875" style="33" customWidth="1"/>
    <col min="3" max="6" width="11.5546875" style="1" customWidth="1"/>
    <col min="7" max="16384" width="9.109375" style="1"/>
  </cols>
  <sheetData>
    <row r="2" spans="1:6" ht="38.25" customHeight="1">
      <c r="A2" s="67" t="s">
        <v>192</v>
      </c>
      <c r="B2" s="67"/>
      <c r="C2" s="67"/>
      <c r="D2" s="67"/>
      <c r="E2" s="67"/>
      <c r="F2" s="67"/>
    </row>
    <row r="3" spans="1:6" ht="17.399999999999999">
      <c r="A3" s="68" t="s">
        <v>164</v>
      </c>
      <c r="B3" s="68"/>
      <c r="C3" s="68"/>
      <c r="D3" s="68"/>
      <c r="E3" s="68"/>
      <c r="F3" s="68"/>
    </row>
    <row r="4" spans="1:6">
      <c r="A4" s="64" t="s">
        <v>264</v>
      </c>
      <c r="B4" s="39"/>
      <c r="C4" s="39"/>
      <c r="D4" s="39"/>
      <c r="E4" s="39"/>
      <c r="F4" s="39"/>
    </row>
    <row r="5" spans="1:6">
      <c r="A5" s="69" t="s">
        <v>0</v>
      </c>
      <c r="B5" s="69" t="s">
        <v>165</v>
      </c>
      <c r="C5" s="4" t="s">
        <v>262</v>
      </c>
      <c r="D5" s="70" t="s">
        <v>263</v>
      </c>
      <c r="E5" s="71"/>
      <c r="F5" s="72"/>
    </row>
    <row r="6" spans="1:6">
      <c r="A6" s="69"/>
      <c r="B6" s="69"/>
      <c r="C6" s="4">
        <v>2020</v>
      </c>
      <c r="D6" s="5">
        <v>2021</v>
      </c>
      <c r="E6" s="5">
        <v>2022</v>
      </c>
      <c r="F6" s="5">
        <v>2023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154</v>
      </c>
      <c r="B8" s="28" t="s">
        <v>199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>
      <c r="A9" s="22" t="s">
        <v>45</v>
      </c>
      <c r="B9" s="28" t="s">
        <v>159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>
      <c r="A10" s="42" t="s">
        <v>46</v>
      </c>
      <c r="B10" s="28" t="s">
        <v>166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200</v>
      </c>
      <c r="B12" s="23" t="s">
        <v>120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>
      <c r="A13" s="10" t="s">
        <v>201</v>
      </c>
      <c r="B13" s="23" t="s">
        <v>121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>
      <c r="A14" s="10" t="s">
        <v>202</v>
      </c>
      <c r="B14" s="23" t="s">
        <v>122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>
      <c r="A15" s="10" t="s">
        <v>203</v>
      </c>
      <c r="B15" s="23" t="s">
        <v>123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>
      <c r="A16" s="10" t="s">
        <v>204</v>
      </c>
      <c r="B16" s="23" t="s">
        <v>124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>
      <c r="A17" s="10" t="s">
        <v>205</v>
      </c>
      <c r="B17" s="23" t="s">
        <v>125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6.8">
      <c r="A18" s="10" t="s">
        <v>206</v>
      </c>
      <c r="B18" s="23" t="s">
        <v>126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>
      <c r="A19" s="10" t="s">
        <v>207</v>
      </c>
      <c r="B19" s="23" t="s">
        <v>127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2">
      <c r="A20" s="10" t="s">
        <v>208</v>
      </c>
      <c r="B20" s="23" t="s">
        <v>128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>
      <c r="A21" s="10" t="s">
        <v>209</v>
      </c>
      <c r="B21" s="23" t="s">
        <v>129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2">
      <c r="A22" s="10" t="s">
        <v>210</v>
      </c>
      <c r="B22" s="23" t="s">
        <v>130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2">
      <c r="A23" s="10" t="s">
        <v>211</v>
      </c>
      <c r="B23" s="23" t="s">
        <v>131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2">
      <c r="A24" s="10" t="s">
        <v>212</v>
      </c>
      <c r="B24" s="23" t="s">
        <v>132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2">
      <c r="A25" s="10" t="s">
        <v>213</v>
      </c>
      <c r="B25" s="23" t="s">
        <v>133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>
      <c r="A26" s="10" t="s">
        <v>214</v>
      </c>
      <c r="B26" s="23" t="s">
        <v>134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2">
      <c r="A27" s="10" t="s">
        <v>215</v>
      </c>
      <c r="B27" s="23" t="s">
        <v>136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2">
      <c r="A28" s="10" t="s">
        <v>216</v>
      </c>
      <c r="B28" s="23" t="s">
        <v>139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>
      <c r="A29" s="10" t="s">
        <v>217</v>
      </c>
      <c r="B29" s="23" t="s">
        <v>141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2">
      <c r="A30" s="10" t="s">
        <v>218</v>
      </c>
      <c r="B30" s="23" t="s">
        <v>143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2">
      <c r="A31" s="10" t="s">
        <v>219</v>
      </c>
      <c r="B31" s="23" t="s">
        <v>145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2">
      <c r="A32" s="10" t="s">
        <v>220</v>
      </c>
      <c r="B32" s="23" t="s">
        <v>147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>
      <c r="A33" s="10" t="s">
        <v>221</v>
      </c>
      <c r="B33" s="23" t="s">
        <v>149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>
      <c r="A34" s="10" t="s">
        <v>222</v>
      </c>
      <c r="B34" s="23" t="s">
        <v>151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>
      <c r="A35" s="10" t="s">
        <v>223</v>
      </c>
      <c r="B35" s="23" t="s">
        <v>153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2">
      <c r="A36" s="10" t="s">
        <v>47</v>
      </c>
      <c r="B36" s="28" t="s">
        <v>167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6.8">
      <c r="A37" s="10" t="s">
        <v>48</v>
      </c>
      <c r="B37" s="28" t="s">
        <v>168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154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>
      <c r="A40" s="10" t="s">
        <v>44</v>
      </c>
      <c r="B40" s="12" t="s">
        <v>175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>
      <c r="A41" s="10" t="s">
        <v>45</v>
      </c>
      <c r="B41" s="12" t="s">
        <v>176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154</v>
      </c>
      <c r="B43" s="26" t="s">
        <v>174</v>
      </c>
      <c r="C43" s="41"/>
      <c r="D43" s="41"/>
      <c r="E43" s="41"/>
      <c r="F43" s="41"/>
    </row>
    <row r="44" spans="1:6">
      <c r="A44" s="10" t="s">
        <v>76</v>
      </c>
      <c r="B44" s="12" t="s">
        <v>172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2">
      <c r="A45" s="10" t="s">
        <v>77</v>
      </c>
      <c r="B45" s="12" t="s">
        <v>169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>
      <c r="A46" s="14" t="s">
        <v>78</v>
      </c>
      <c r="B46" s="12" t="s">
        <v>173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2">
      <c r="A48" s="14" t="s">
        <v>154</v>
      </c>
      <c r="B48" s="30" t="s">
        <v>170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154</v>
      </c>
      <c r="B50" s="31" t="s">
        <v>171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zoomScale="120" zoomScaleNormal="100" zoomScaleSheetLayoutView="120" zoomScalePageLayoutView="120" workbookViewId="0">
      <selection activeCell="B6" sqref="B6"/>
    </sheetView>
  </sheetViews>
  <sheetFormatPr defaultColWidth="9.109375" defaultRowHeight="15.6"/>
  <cols>
    <col min="1" max="1" width="9" style="24" customWidth="1"/>
    <col min="2" max="2" width="49.5546875" style="36" customWidth="1"/>
    <col min="3" max="3" width="24.88671875" style="38" customWidth="1"/>
    <col min="4" max="4" width="12.5546875" style="38" customWidth="1"/>
    <col min="5" max="5" width="15" style="38" customWidth="1"/>
    <col min="6" max="6" width="12.88671875" style="38" customWidth="1"/>
    <col min="7" max="7" width="12.44140625" style="38" customWidth="1"/>
    <col min="8" max="8" width="14.44140625" style="38" customWidth="1"/>
    <col min="9" max="16384" width="9.109375" style="1"/>
  </cols>
  <sheetData>
    <row r="1" spans="1:8" ht="17.399999999999999">
      <c r="A1" s="96" t="s">
        <v>266</v>
      </c>
      <c r="B1" s="96"/>
      <c r="C1" s="96"/>
      <c r="D1" s="96"/>
      <c r="E1" s="96"/>
      <c r="F1" s="96"/>
      <c r="G1" s="96"/>
      <c r="H1" s="96"/>
    </row>
    <row r="2" spans="1:8" ht="42.75" customHeight="1">
      <c r="A2" s="90" t="s">
        <v>265</v>
      </c>
      <c r="B2" s="91"/>
      <c r="C2" s="91"/>
      <c r="D2" s="91"/>
      <c r="E2" s="91"/>
      <c r="F2" s="91"/>
      <c r="G2" s="91"/>
      <c r="H2" s="91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9" t="s">
        <v>0</v>
      </c>
      <c r="B4" s="92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93"/>
      <c r="H4" s="93"/>
    </row>
    <row r="5" spans="1:8">
      <c r="A5" s="69"/>
      <c r="B5" s="92"/>
      <c r="C5" s="69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235</v>
      </c>
      <c r="C7" s="19" t="s">
        <v>9</v>
      </c>
      <c r="D7" s="44">
        <v>11313</v>
      </c>
      <c r="E7" s="44">
        <v>11346</v>
      </c>
      <c r="F7" s="44">
        <f>D7*102.17%</f>
        <v>11558.492100000001</v>
      </c>
      <c r="G7" s="44">
        <f>D7*105.33%</f>
        <v>11915.982899999999</v>
      </c>
      <c r="H7" s="44">
        <f>D7*106.04%</f>
        <v>11996.305200000001</v>
      </c>
    </row>
    <row r="8" spans="1:8">
      <c r="A8" s="8" t="s">
        <v>44</v>
      </c>
      <c r="B8" s="35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8" t="s">
        <v>45</v>
      </c>
      <c r="B9" s="35" t="s">
        <v>226</v>
      </c>
      <c r="C9" s="19" t="s">
        <v>9</v>
      </c>
      <c r="D9" s="44">
        <v>11313</v>
      </c>
      <c r="E9" s="44">
        <f>E7-E8</f>
        <v>11346</v>
      </c>
      <c r="F9" s="44">
        <f t="shared" ref="F9:H9" si="0">F7-F8</f>
        <v>11558.492100000001</v>
      </c>
      <c r="G9" s="44">
        <f t="shared" si="0"/>
        <v>11915.982899999999</v>
      </c>
      <c r="H9" s="44">
        <f t="shared" si="0"/>
        <v>11996.305200000001</v>
      </c>
    </row>
    <row r="10" spans="1:8" ht="31.2">
      <c r="A10" s="8" t="s">
        <v>76</v>
      </c>
      <c r="B10" s="35" t="s">
        <v>234</v>
      </c>
      <c r="C10" s="19" t="s">
        <v>9</v>
      </c>
      <c r="D10" s="44">
        <v>1555</v>
      </c>
      <c r="E10" s="44">
        <f>D10*1.03</f>
        <v>1601.65</v>
      </c>
      <c r="F10" s="44">
        <f>D10*1.04</f>
        <v>1617.2</v>
      </c>
      <c r="G10" s="44">
        <f>D10*1.04</f>
        <v>1617.2</v>
      </c>
      <c r="H10" s="44">
        <f>D10*1.033</f>
        <v>1606.3149999999998</v>
      </c>
    </row>
    <row r="11" spans="1:8" ht="31.2">
      <c r="A11" s="8" t="s">
        <v>77</v>
      </c>
      <c r="B11" s="35" t="s">
        <v>232</v>
      </c>
      <c r="C11" s="19" t="s">
        <v>9</v>
      </c>
      <c r="D11" s="44">
        <f>D7*4.95%</f>
        <v>559.99350000000004</v>
      </c>
      <c r="E11" s="44">
        <f>E7*4.81%</f>
        <v>545.74259999999992</v>
      </c>
      <c r="F11" s="44">
        <f>F7*4.67%</f>
        <v>539.78158107000002</v>
      </c>
      <c r="G11" s="44">
        <f>G7*4.37%</f>
        <v>520.72845272999996</v>
      </c>
      <c r="H11" s="44">
        <f>H7*4.4%</f>
        <v>527.83742880000011</v>
      </c>
    </row>
    <row r="12" spans="1:8" ht="31.2">
      <c r="A12" s="8" t="s">
        <v>78</v>
      </c>
      <c r="B12" s="35" t="s">
        <v>233</v>
      </c>
      <c r="C12" s="19" t="s">
        <v>9</v>
      </c>
      <c r="D12" s="44">
        <f>D7-D10-D11</f>
        <v>9198.0064999999995</v>
      </c>
      <c r="E12" s="44">
        <f t="shared" ref="E12:H12" si="1">E7-E10-E11</f>
        <v>9198.6074000000008</v>
      </c>
      <c r="F12" s="44">
        <f t="shared" si="1"/>
        <v>9401.5105189300011</v>
      </c>
      <c r="G12" s="44">
        <f t="shared" si="1"/>
        <v>9778.0544472699985</v>
      </c>
      <c r="H12" s="44">
        <f t="shared" si="1"/>
        <v>9862.1527712000006</v>
      </c>
    </row>
    <row r="13" spans="1:8">
      <c r="A13" s="9" t="s">
        <v>79</v>
      </c>
      <c r="B13" s="35" t="s">
        <v>95</v>
      </c>
      <c r="C13" s="19" t="s">
        <v>9</v>
      </c>
      <c r="D13" s="44">
        <f>(D7+E7)/2</f>
        <v>11329.5</v>
      </c>
      <c r="E13" s="44">
        <f>(E7+F7)/2</f>
        <v>11452.246050000002</v>
      </c>
      <c r="F13" s="44">
        <f>(F7+G7)/2</f>
        <v>11737.237499999999</v>
      </c>
      <c r="G13" s="44">
        <f>(G7+H7)/2</f>
        <v>11956.144049999999</v>
      </c>
      <c r="H13" s="44">
        <f>(H7+(H7+H14-H15+H16))/2</f>
        <v>11948.472423974401</v>
      </c>
    </row>
    <row r="14" spans="1:8">
      <c r="A14" s="10" t="s">
        <v>84</v>
      </c>
      <c r="B14" s="35" t="s">
        <v>74</v>
      </c>
      <c r="C14" s="19" t="s">
        <v>9</v>
      </c>
      <c r="D14" s="44">
        <v>60</v>
      </c>
      <c r="E14" s="65">
        <f>6.8*11452.2/1000</f>
        <v>77.874960000000002</v>
      </c>
      <c r="F14" s="65">
        <f>7.1*11737.2/1000</f>
        <v>83.334119999999999</v>
      </c>
      <c r="G14" s="65">
        <f>7*11956.1/1000</f>
        <v>83.692700000000002</v>
      </c>
      <c r="H14" s="65">
        <f>6.7*11996.3/1000</f>
        <v>80.375209999999996</v>
      </c>
    </row>
    <row r="15" spans="1:8">
      <c r="A15" s="10" t="s">
        <v>85</v>
      </c>
      <c r="B15" s="35" t="s">
        <v>75</v>
      </c>
      <c r="C15" s="19" t="s">
        <v>9</v>
      </c>
      <c r="D15" s="44">
        <v>143</v>
      </c>
      <c r="E15" s="65">
        <f>13*E12/1000</f>
        <v>119.58189620000002</v>
      </c>
      <c r="F15" s="65">
        <f>13.3*F12/1000</f>
        <v>125.04008990176902</v>
      </c>
      <c r="G15" s="65">
        <f>13.1*G12/1000</f>
        <v>128.09251325923697</v>
      </c>
      <c r="H15" s="65">
        <f>13*H12/1000</f>
        <v>128.20798602560001</v>
      </c>
    </row>
    <row r="16" spans="1:8">
      <c r="A16" s="10" t="s">
        <v>86</v>
      </c>
      <c r="B16" s="35" t="s">
        <v>90</v>
      </c>
      <c r="C16" s="19" t="s">
        <v>9</v>
      </c>
      <c r="D16" s="65">
        <f>D14-D15</f>
        <v>-83</v>
      </c>
      <c r="E16" s="65">
        <v>-69</v>
      </c>
      <c r="F16" s="65">
        <v>-71</v>
      </c>
      <c r="G16" s="65">
        <f t="shared" ref="G16:H16" si="2">G14-G15</f>
        <v>-44.399813259236964</v>
      </c>
      <c r="H16" s="65">
        <f t="shared" si="2"/>
        <v>-47.832776025600012</v>
      </c>
    </row>
    <row r="17" spans="1:8" ht="31.2">
      <c r="A17" s="10" t="s">
        <v>155</v>
      </c>
      <c r="B17" s="35" t="s">
        <v>10</v>
      </c>
      <c r="C17" s="19" t="s">
        <v>242</v>
      </c>
      <c r="D17" s="44">
        <f>D14/D13*1000</f>
        <v>5.2959089103667418</v>
      </c>
      <c r="E17" s="44">
        <f>E14/E13*1000</f>
        <v>6.7999726568920504</v>
      </c>
      <c r="F17" s="44">
        <f>F14/F13*1000</f>
        <v>7.0999773157866155</v>
      </c>
      <c r="G17" s="44">
        <f>G14/G13*1000</f>
        <v>6.9999742099126019</v>
      </c>
      <c r="H17" s="44">
        <f>H14/H13*1000</f>
        <v>6.726818889310783</v>
      </c>
    </row>
    <row r="18" spans="1:8" ht="31.2">
      <c r="A18" s="10" t="s">
        <v>156</v>
      </c>
      <c r="B18" s="35" t="s">
        <v>11</v>
      </c>
      <c r="C18" s="19" t="s">
        <v>242</v>
      </c>
      <c r="D18" s="44">
        <f>D15/D13*1000</f>
        <v>12.621916236374068</v>
      </c>
      <c r="E18" s="44">
        <f>E15/E13*1000</f>
        <v>10.441785452208302</v>
      </c>
      <c r="F18" s="44">
        <f>F15/F13*1000</f>
        <v>10.653281055424586</v>
      </c>
      <c r="G18" s="44">
        <f>G15/G13*1000</f>
        <v>10.713530442888649</v>
      </c>
      <c r="H18" s="44">
        <f>H15/H13*1000</f>
        <v>10.730073391503412</v>
      </c>
    </row>
    <row r="19" spans="1:8" ht="31.2">
      <c r="A19" s="10" t="s">
        <v>157</v>
      </c>
      <c r="B19" s="35" t="s">
        <v>12</v>
      </c>
      <c r="C19" s="19" t="s">
        <v>242</v>
      </c>
      <c r="D19" s="44">
        <f>D17-D18</f>
        <v>-7.3260073260073257</v>
      </c>
      <c r="E19" s="44">
        <f>E17-E18</f>
        <v>-3.6418127953162518</v>
      </c>
      <c r="F19" s="44">
        <f>F17-F18</f>
        <v>-3.5533037396379701</v>
      </c>
      <c r="G19" s="44">
        <f>G17-G18</f>
        <v>-3.713556232976047</v>
      </c>
      <c r="H19" s="44">
        <f>H17-H18</f>
        <v>-4.0032545021926289</v>
      </c>
    </row>
    <row r="20" spans="1:8" ht="31.2">
      <c r="A20" s="10" t="s">
        <v>158</v>
      </c>
      <c r="B20" s="35" t="s">
        <v>13</v>
      </c>
      <c r="C20" s="19" t="s">
        <v>242</v>
      </c>
      <c r="D20" s="44">
        <f>D16/D13*1000</f>
        <v>-7.3260073260073257</v>
      </c>
      <c r="E20" s="44">
        <f>E16/E13*1000</f>
        <v>-6.0250189961645111</v>
      </c>
      <c r="F20" s="44">
        <f>F16/F13*1000</f>
        <v>-6.0491235693237018</v>
      </c>
      <c r="G20" s="44">
        <f>G16/G13*1000</f>
        <v>-3.7135562329760461</v>
      </c>
      <c r="H20" s="44">
        <f>H16/H13*1000</f>
        <v>-4.0032545021926307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2.4">
      <c r="A22" s="83">
        <v>1</v>
      </c>
      <c r="B22" s="43" t="s">
        <v>119</v>
      </c>
      <c r="C22" s="19" t="s">
        <v>241</v>
      </c>
      <c r="D22" s="44">
        <v>201.37100000000001</v>
      </c>
      <c r="E22" s="44">
        <f>E24+E26+E77+E79</f>
        <v>202.92595161531344</v>
      </c>
      <c r="F22" s="44">
        <f>F24+F26+F77+F79</f>
        <v>213.99024656807521</v>
      </c>
      <c r="G22" s="44">
        <f>G24+G26+G77+G79</f>
        <v>232.41122967056077</v>
      </c>
      <c r="H22" s="44">
        <f>H24+H26+H77+H79</f>
        <v>254.40103498417275</v>
      </c>
    </row>
    <row r="23" spans="1:8" ht="31.2">
      <c r="A23" s="83"/>
      <c r="B23" s="43" t="s">
        <v>17</v>
      </c>
      <c r="C23" s="47" t="s">
        <v>18</v>
      </c>
      <c r="D23" s="44">
        <f>D22/176165*100</f>
        <v>0.11430817699315983</v>
      </c>
      <c r="E23" s="44">
        <f>E54</f>
        <v>100.4</v>
      </c>
      <c r="F23" s="44">
        <f t="shared" ref="F23:H23" si="3">(E24*F25+E26*F27+E77*F78+E79*F80)/E22</f>
        <v>102.7</v>
      </c>
      <c r="G23" s="44">
        <f t="shared" si="3"/>
        <v>104.2</v>
      </c>
      <c r="H23" s="44">
        <f t="shared" si="3"/>
        <v>104.6</v>
      </c>
    </row>
    <row r="24" spans="1:8" ht="78">
      <c r="A24" s="83" t="s">
        <v>76</v>
      </c>
      <c r="B24" s="43" t="s">
        <v>194</v>
      </c>
      <c r="C24" s="19" t="s">
        <v>241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2">
      <c r="A25" s="83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">
      <c r="A26" s="84">
        <v>3</v>
      </c>
      <c r="B26" s="43" t="s">
        <v>195</v>
      </c>
      <c r="C26" s="19" t="s">
        <v>241</v>
      </c>
      <c r="D26" s="44">
        <f>D53</f>
        <v>201.37100000000001</v>
      </c>
      <c r="E26" s="44">
        <f>E29+E35+E37+E39+E41+E43+E45+E47+E49+E51+E53+E55+E57+E59+E31+E33+E61+E63+E65+E67+E69+E71+E73+E75</f>
        <v>202.92595161531344</v>
      </c>
      <c r="F26" s="44">
        <f>F29+F35+F37+F39+F41+F43+F45+F47+F49+F51+F53+F55+F57+F59+F31+F33+F61+F63+F65+F67+F69+F71+F73+F75</f>
        <v>213.99024656807521</v>
      </c>
      <c r="G26" s="44">
        <f>G29+G35+G37+G39+G41+G43+G45+G47+G49+G51+G53+G55+G57+G59+G31+G33+G61+G63+G65+G67+G69+G71+G73+G75</f>
        <v>232.41122967056077</v>
      </c>
      <c r="H26" s="44">
        <f>H29+H35+H37+H39+H41+H43+H45+H47+H49+H51+H53+H55+H57+H59+H31+H33+H61+H63+H65+H67+H69+H71+H73+H75</f>
        <v>254.40103498417275</v>
      </c>
    </row>
    <row r="27" spans="1:8" ht="31.2">
      <c r="A27" s="84"/>
      <c r="B27" s="43" t="s">
        <v>20</v>
      </c>
      <c r="C27" s="47" t="s">
        <v>18</v>
      </c>
      <c r="D27" s="44">
        <f>D54</f>
        <v>0.11430817699315983</v>
      </c>
      <c r="E27" s="44">
        <v>100.4</v>
      </c>
      <c r="F27" s="44">
        <f>(E29*F30+E31*F32+E33*F34+E35*F36+E37*F38+E39*F40+E41*F42+E43*F44+E45*F46+E47*F48+E49*F50+E51*F52+E53*F54+E55*F56+E57*F58+E59*F60+E61*F62+E63*F64+E65*F66+E67*F68+E69*F70+E71*F72+E73*F74+E75*F76)/E26</f>
        <v>102.7</v>
      </c>
      <c r="G27" s="44">
        <f>(F29*G30+F31*G32+F33*G34+F35*G36+F37*G38+F39*G40+F41*G42+F43*G44+F45*G46+F47*G48+F49*G50+F51*G52+F53*G54+F55*G56+F57*G58+F59*G60+F61*G62+F63*G64+F65*G66+F67*G68+F69*G70+F71*G72+F73*G74+F75*G76)/F26</f>
        <v>104.2</v>
      </c>
      <c r="H27" s="44">
        <f>(G29*H30+G31*H32+G33*H34+G35*H36+G37*H38+G39*H40+G41*H42+G43*H44+G45*H46+G47*H48+G49*H50+G51*H52+G53*H54+G55*H56+G57*H58+G59*H60+G61*H62+G63*H64+G65*H66+G67*H68+G69*H70+G71*H72+G73*H74+G75*H76)/G26</f>
        <v>104.6</v>
      </c>
    </row>
    <row r="28" spans="1:8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2">
      <c r="A29" s="75" t="s">
        <v>49</v>
      </c>
      <c r="B29" s="43" t="s">
        <v>120</v>
      </c>
      <c r="C29" s="19" t="s">
        <v>241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2">
      <c r="A30" s="75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>
      <c r="A31" s="75" t="s">
        <v>50</v>
      </c>
      <c r="B31" s="43" t="s">
        <v>121</v>
      </c>
      <c r="C31" s="19" t="s">
        <v>241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2">
      <c r="A32" s="75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2">
      <c r="A33" s="75" t="s">
        <v>51</v>
      </c>
      <c r="B33" s="43" t="s">
        <v>122</v>
      </c>
      <c r="C33" s="19" t="s">
        <v>241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2">
      <c r="A34" s="75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2">
      <c r="A35" s="75" t="s">
        <v>52</v>
      </c>
      <c r="B35" s="43" t="s">
        <v>123</v>
      </c>
      <c r="C35" s="19" t="s">
        <v>241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2">
      <c r="A36" s="75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>
      <c r="A37" s="75" t="s">
        <v>53</v>
      </c>
      <c r="B37" s="43" t="s">
        <v>124</v>
      </c>
      <c r="C37" s="19" t="s">
        <v>241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2">
      <c r="A38" s="75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2">
      <c r="A39" s="75" t="s">
        <v>54</v>
      </c>
      <c r="B39" s="43" t="s">
        <v>125</v>
      </c>
      <c r="C39" s="19" t="s">
        <v>241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2">
      <c r="A40" s="75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2.4">
      <c r="A41" s="75" t="s">
        <v>55</v>
      </c>
      <c r="B41" s="43" t="s">
        <v>126</v>
      </c>
      <c r="C41" s="19" t="s">
        <v>241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2">
      <c r="A42" s="75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2">
      <c r="A43" s="75" t="s">
        <v>56</v>
      </c>
      <c r="B43" s="43" t="s">
        <v>127</v>
      </c>
      <c r="C43" s="19" t="s">
        <v>241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2">
      <c r="A44" s="75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2">
      <c r="A45" s="75" t="s">
        <v>57</v>
      </c>
      <c r="B45" s="43" t="s">
        <v>128</v>
      </c>
      <c r="C45" s="19" t="s">
        <v>241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2">
      <c r="A46" s="75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2">
      <c r="A47" s="75" t="s">
        <v>58</v>
      </c>
      <c r="B47" s="43" t="s">
        <v>129</v>
      </c>
      <c r="C47" s="19" t="s">
        <v>241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2">
      <c r="A48" s="75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2">
      <c r="A49" s="75" t="s">
        <v>59</v>
      </c>
      <c r="B49" s="43" t="s">
        <v>130</v>
      </c>
      <c r="C49" s="19" t="s">
        <v>241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2">
      <c r="A50" s="75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6.8">
      <c r="A51" s="75" t="s">
        <v>60</v>
      </c>
      <c r="B51" s="43" t="s">
        <v>131</v>
      </c>
      <c r="C51" s="19" t="s">
        <v>241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2">
      <c r="A52" s="75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2">
      <c r="A53" s="75" t="s">
        <v>61</v>
      </c>
      <c r="B53" s="43" t="s">
        <v>132</v>
      </c>
      <c r="C53" s="19" t="s">
        <v>241</v>
      </c>
      <c r="D53" s="44">
        <f>D22</f>
        <v>201.37100000000001</v>
      </c>
      <c r="E53" s="44">
        <f>D53*E54*'Входные данные'!C24/10000</f>
        <v>202.92595161531344</v>
      </c>
      <c r="F53" s="44">
        <f>E53*F54*'Входные данные'!D24/10000</f>
        <v>213.99024656807521</v>
      </c>
      <c r="G53" s="44">
        <f>F53*G54*'Входные данные'!E24/10000</f>
        <v>232.41122967056077</v>
      </c>
      <c r="H53" s="44">
        <f>G53*H54*'Входные данные'!F24/10000</f>
        <v>254.40103498417275</v>
      </c>
    </row>
    <row r="54" spans="1:8" ht="31.2">
      <c r="A54" s="75"/>
      <c r="B54" s="43" t="s">
        <v>20</v>
      </c>
      <c r="C54" s="47" t="s">
        <v>18</v>
      </c>
      <c r="D54" s="44">
        <f>D23</f>
        <v>0.11430817699315983</v>
      </c>
      <c r="E54" s="44">
        <v>100.4</v>
      </c>
      <c r="F54" s="44">
        <v>102.7</v>
      </c>
      <c r="G54" s="44">
        <v>104.2</v>
      </c>
      <c r="H54" s="44">
        <v>104.6</v>
      </c>
    </row>
    <row r="55" spans="1:8" ht="31.2">
      <c r="A55" s="75" t="s">
        <v>62</v>
      </c>
      <c r="B55" s="43" t="s">
        <v>133</v>
      </c>
      <c r="C55" s="19" t="s">
        <v>241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2">
      <c r="A56" s="75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2">
      <c r="A57" s="75" t="s">
        <v>135</v>
      </c>
      <c r="B57" s="43" t="s">
        <v>134</v>
      </c>
      <c r="C57" s="19" t="s">
        <v>241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2">
      <c r="A58" s="75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2">
      <c r="A59" s="75" t="s">
        <v>137</v>
      </c>
      <c r="B59" s="43" t="s">
        <v>136</v>
      </c>
      <c r="C59" s="19" t="s">
        <v>241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2">
      <c r="A60" s="75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2">
      <c r="A61" s="75" t="s">
        <v>138</v>
      </c>
      <c r="B61" s="43" t="s">
        <v>139</v>
      </c>
      <c r="C61" s="19" t="s">
        <v>241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2">
      <c r="A62" s="75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2">
      <c r="A63" s="75" t="s">
        <v>140</v>
      </c>
      <c r="B63" s="43" t="s">
        <v>141</v>
      </c>
      <c r="C63" s="19" t="s">
        <v>241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2">
      <c r="A64" s="75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6.8">
      <c r="A65" s="75" t="s">
        <v>142</v>
      </c>
      <c r="B65" s="43" t="s">
        <v>143</v>
      </c>
      <c r="C65" s="19" t="s">
        <v>241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2">
      <c r="A66" s="75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2">
      <c r="A67" s="75" t="s">
        <v>144</v>
      </c>
      <c r="B67" s="43" t="s">
        <v>145</v>
      </c>
      <c r="C67" s="19" t="s">
        <v>241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2">
      <c r="A68" s="75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2">
      <c r="A69" s="75" t="s">
        <v>146</v>
      </c>
      <c r="B69" s="43" t="s">
        <v>147</v>
      </c>
      <c r="C69" s="19" t="s">
        <v>241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2">
      <c r="A70" s="75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5" t="s">
        <v>148</v>
      </c>
      <c r="B71" s="43" t="s">
        <v>149</v>
      </c>
      <c r="C71" s="19" t="s">
        <v>241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2">
      <c r="A72" s="75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2">
      <c r="A73" s="75" t="s">
        <v>150</v>
      </c>
      <c r="B73" s="43" t="s">
        <v>151</v>
      </c>
      <c r="C73" s="19" t="s">
        <v>241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2">
      <c r="A74" s="75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2">
      <c r="A75" s="75" t="s">
        <v>152</v>
      </c>
      <c r="B75" s="43" t="s">
        <v>153</v>
      </c>
      <c r="C75" s="19" t="s">
        <v>241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2">
      <c r="A76" s="75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3.6">
      <c r="A77" s="75">
        <v>4</v>
      </c>
      <c r="B77" s="43" t="s">
        <v>196</v>
      </c>
      <c r="C77" s="19" t="s">
        <v>241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2">
      <c r="A78" s="75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09.2">
      <c r="A79" s="75" t="s">
        <v>79</v>
      </c>
      <c r="B79" s="43" t="s">
        <v>197</v>
      </c>
      <c r="C79" s="19" t="s">
        <v>241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2">
      <c r="A80" s="75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>
      <c r="A82" s="75">
        <v>1</v>
      </c>
      <c r="B82" s="35" t="s">
        <v>187</v>
      </c>
      <c r="C82" s="19" t="s">
        <v>241</v>
      </c>
      <c r="D82" s="66">
        <f>D84+D86</f>
        <v>173.55700000000002</v>
      </c>
      <c r="E82" s="66">
        <f>E84+E86</f>
        <v>185.93855643439736</v>
      </c>
      <c r="F82" s="66">
        <f>F84+F86</f>
        <v>199.53658008403556</v>
      </c>
      <c r="G82" s="66">
        <f>G84+G86</f>
        <v>214.29556859176904</v>
      </c>
      <c r="H82" s="66">
        <f>H84+H86</f>
        <v>231.94732585586149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2">
      <c r="A83" s="75"/>
      <c r="B83" s="35" t="s">
        <v>254</v>
      </c>
      <c r="C83" s="47" t="s">
        <v>18</v>
      </c>
      <c r="D83" s="44">
        <v>0.9</v>
      </c>
      <c r="E83" s="44">
        <f>(D84*E85+D86*E87)/D82</f>
        <v>103.52071711310981</v>
      </c>
      <c r="F83" s="44">
        <f>(E84*F85+E86*F87)/E82</f>
        <v>103.61044220867555</v>
      </c>
      <c r="G83" s="44">
        <f>(F84*G85+F86*G87)/F82</f>
        <v>103.61572681416833</v>
      </c>
      <c r="H83" s="44">
        <f>(G84*H85+G86*H87)/G82</f>
        <v>104.01580393215863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5" t="s">
        <v>44</v>
      </c>
      <c r="B84" s="35" t="s">
        <v>96</v>
      </c>
      <c r="C84" s="19" t="s">
        <v>241</v>
      </c>
      <c r="D84" s="66">
        <v>8.9890000000000008</v>
      </c>
      <c r="E84" s="66">
        <f>D84*E85*'Входные данные'!C40/10000</f>
        <v>9.7080460356044966</v>
      </c>
      <c r="F84" s="66">
        <f>E84*F85*'Входные данные'!D40/10000</f>
        <v>10.460249049219838</v>
      </c>
      <c r="G84" s="66">
        <f>F84*G85*'Входные данные'!E40/10000</f>
        <v>11.289042093067581</v>
      </c>
      <c r="H84" s="66">
        <f>G84*H85*'Входные данные'!F40/10000</f>
        <v>12.28565502340467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2">
      <c r="A85" s="75"/>
      <c r="B85" s="35" t="s">
        <v>255</v>
      </c>
      <c r="C85" s="47" t="s">
        <v>18</v>
      </c>
      <c r="D85" s="44">
        <v>0.9</v>
      </c>
      <c r="E85" s="44">
        <v>103.9</v>
      </c>
      <c r="F85" s="44">
        <v>103.8</v>
      </c>
      <c r="G85" s="44">
        <v>103.9</v>
      </c>
      <c r="H85" s="44">
        <v>104.3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5" t="s">
        <v>45</v>
      </c>
      <c r="B86" s="35" t="s">
        <v>97</v>
      </c>
      <c r="C86" s="19" t="s">
        <v>241</v>
      </c>
      <c r="D86" s="66">
        <v>164.56800000000001</v>
      </c>
      <c r="E86" s="66">
        <f>D86*E87*'Входные данные'!C41/10000</f>
        <v>176.23051039879286</v>
      </c>
      <c r="F86" s="66">
        <f>E86*F87*'Входные данные'!D41/10000</f>
        <v>189.07633103481572</v>
      </c>
      <c r="G86" s="66">
        <f>F86*G87*'Входные данные'!E41/10000</f>
        <v>203.00652649870145</v>
      </c>
      <c r="H86" s="66">
        <f>G86*H87*'Входные данные'!F41/10000</f>
        <v>219.66167083245682</v>
      </c>
    </row>
    <row r="87" spans="1:16384" ht="31.2">
      <c r="A87" s="75"/>
      <c r="B87" s="35" t="s">
        <v>256</v>
      </c>
      <c r="C87" s="19" t="s">
        <v>80</v>
      </c>
      <c r="D87" s="44">
        <v>0.87</v>
      </c>
      <c r="E87" s="44">
        <v>103.5</v>
      </c>
      <c r="F87" s="44">
        <v>103.6</v>
      </c>
      <c r="G87" s="44">
        <v>103.6</v>
      </c>
      <c r="H87" s="44">
        <v>104</v>
      </c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2">
      <c r="A89" s="87">
        <v>1</v>
      </c>
      <c r="B89" s="35" t="s">
        <v>161</v>
      </c>
      <c r="C89" s="19" t="s">
        <v>241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2">
      <c r="A90" s="88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2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2">
      <c r="A92" s="10" t="s">
        <v>63</v>
      </c>
      <c r="B92" s="35" t="s">
        <v>239</v>
      </c>
      <c r="C92" s="19" t="s">
        <v>33</v>
      </c>
      <c r="D92" s="44"/>
      <c r="E92" s="44"/>
      <c r="F92" s="44"/>
      <c r="G92" s="44"/>
      <c r="H92" s="44"/>
    </row>
    <row r="93" spans="1:16384" ht="31.2">
      <c r="A93" s="10">
        <v>3</v>
      </c>
      <c r="B93" s="35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2">
      <c r="A95" s="10" t="s">
        <v>154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6.8">
      <c r="A96" s="9" t="s">
        <v>76</v>
      </c>
      <c r="B96" s="35" t="s">
        <v>224</v>
      </c>
      <c r="C96" s="19" t="s">
        <v>87</v>
      </c>
      <c r="D96" s="44"/>
      <c r="E96" s="44"/>
      <c r="F96" s="44"/>
      <c r="G96" s="44"/>
      <c r="H96" s="44"/>
    </row>
    <row r="97" spans="1:8" ht="62.4">
      <c r="A97" s="9" t="s">
        <v>77</v>
      </c>
      <c r="B97" s="35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85">
        <v>1</v>
      </c>
      <c r="B99" s="74" t="s">
        <v>193</v>
      </c>
      <c r="C99" s="19" t="s">
        <v>241</v>
      </c>
      <c r="D99" s="66">
        <v>5.0179999999999998</v>
      </c>
      <c r="E99" s="66">
        <f>D99*E100*'Входные данные'!C44/10000</f>
        <v>5.2807655627999992</v>
      </c>
      <c r="F99" s="66">
        <f>E99*F100*'Входные данные'!D44/10000</f>
        <v>5.8407493495329268</v>
      </c>
      <c r="G99" s="66">
        <f>F99*G100*'Входные данные'!E44/10000</f>
        <v>6.2041116533588356</v>
      </c>
      <c r="H99" s="66">
        <f>G99*H100*'Входные данные'!F44/10000</f>
        <v>6.5928084305270138</v>
      </c>
    </row>
    <row r="100" spans="1:8">
      <c r="A100" s="85"/>
      <c r="B100" s="74"/>
      <c r="C100" s="19" t="s">
        <v>26</v>
      </c>
      <c r="D100" s="44">
        <f>D99/5086*100</f>
        <v>9.8662996460872981E-2</v>
      </c>
      <c r="E100" s="44">
        <v>102</v>
      </c>
      <c r="F100" s="44">
        <v>106.8</v>
      </c>
      <c r="G100" s="44">
        <v>102.3</v>
      </c>
      <c r="H100" s="44">
        <v>102.3</v>
      </c>
    </row>
    <row r="101" spans="1:8">
      <c r="A101" s="86" t="s">
        <v>76</v>
      </c>
      <c r="B101" s="73" t="s">
        <v>83</v>
      </c>
      <c r="C101" s="19" t="s">
        <v>241</v>
      </c>
      <c r="D101" s="66">
        <v>342.54300000000001</v>
      </c>
      <c r="E101" s="66">
        <f>D101*E102*'Входные данные'!C46/10000</f>
        <v>335.65994095799999</v>
      </c>
      <c r="F101" s="66">
        <f>E101*F102*'Входные данные'!D46/10000</f>
        <v>368.85420173898729</v>
      </c>
      <c r="G101" s="66">
        <f>F101*G102*'Входные данные'!E46/10000</f>
        <v>389.8171118478603</v>
      </c>
      <c r="H101" s="66">
        <f>G101*H102*'Входные данные'!F46/10000</f>
        <v>411.81739170874721</v>
      </c>
    </row>
    <row r="102" spans="1:8">
      <c r="A102" s="86"/>
      <c r="B102" s="73"/>
      <c r="C102" s="47" t="s">
        <v>26</v>
      </c>
      <c r="D102" s="44">
        <f>D101/380548*100</f>
        <v>9.0013086391204269E-2</v>
      </c>
      <c r="E102" s="44">
        <v>95</v>
      </c>
      <c r="F102" s="44">
        <v>105.9</v>
      </c>
      <c r="G102" s="44">
        <v>101.3</v>
      </c>
      <c r="H102" s="44">
        <v>101.3</v>
      </c>
    </row>
    <row r="103" spans="1:8">
      <c r="A103" s="79" t="s">
        <v>77</v>
      </c>
      <c r="B103" s="81" t="s">
        <v>261</v>
      </c>
      <c r="C103" s="19" t="s">
        <v>241</v>
      </c>
      <c r="D103" s="66">
        <v>188.309</v>
      </c>
      <c r="E103" s="66">
        <f>D103*E104*'Входные данные'!C45/10000</f>
        <v>199.65068535807998</v>
      </c>
      <c r="F103" s="66">
        <f>E103*F104*'Входные данные'!D45/10000</f>
        <v>211.52815419338884</v>
      </c>
      <c r="G103" s="66">
        <f>F103*G104*'Входные данные'!E45/10000</f>
        <v>222.56987096024523</v>
      </c>
      <c r="H103" s="66">
        <f>G103*H104*'Входные данные'!F45/10000</f>
        <v>235.96366284930119</v>
      </c>
    </row>
    <row r="104" spans="1:8">
      <c r="A104" s="80"/>
      <c r="B104" s="82"/>
      <c r="C104" s="47" t="s">
        <v>26</v>
      </c>
      <c r="D104" s="44">
        <f>D103/182022*100</f>
        <v>0.10345397809056048</v>
      </c>
      <c r="E104" s="44">
        <v>102.4</v>
      </c>
      <c r="F104" s="44">
        <v>102.5</v>
      </c>
      <c r="G104" s="44">
        <v>101.5</v>
      </c>
      <c r="H104" s="44">
        <v>102.4</v>
      </c>
    </row>
    <row r="105" spans="1:8">
      <c r="A105" s="11" t="s">
        <v>27</v>
      </c>
      <c r="B105" s="32" t="s">
        <v>248</v>
      </c>
      <c r="C105" s="47"/>
      <c r="D105" s="44"/>
      <c r="E105" s="44"/>
      <c r="F105" s="44"/>
      <c r="G105" s="44"/>
      <c r="H105" s="44"/>
    </row>
    <row r="106" spans="1:8" ht="31.2">
      <c r="A106" s="16" t="s">
        <v>154</v>
      </c>
      <c r="B106" s="35" t="s">
        <v>236</v>
      </c>
      <c r="C106" s="19" t="s">
        <v>237</v>
      </c>
      <c r="D106" s="44">
        <v>280</v>
      </c>
      <c r="E106" s="44">
        <v>270</v>
      </c>
      <c r="F106" s="44">
        <f>D106*100.5%</f>
        <v>281.39999999999998</v>
      </c>
      <c r="G106" s="44">
        <f>D106*101%</f>
        <v>282.8</v>
      </c>
      <c r="H106" s="44">
        <f>F106*101.5%</f>
        <v>285.62099999999992</v>
      </c>
    </row>
    <row r="107" spans="1:8" ht="62.4">
      <c r="A107" s="16" t="s">
        <v>76</v>
      </c>
      <c r="B107" s="35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2">
      <c r="A108" s="16" t="s">
        <v>77</v>
      </c>
      <c r="B108" s="35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77">
        <v>1</v>
      </c>
      <c r="B110" s="43" t="s">
        <v>258</v>
      </c>
      <c r="C110" s="19" t="s">
        <v>241</v>
      </c>
      <c r="D110" s="66">
        <f>D115+D130</f>
        <v>37.930999999999997</v>
      </c>
      <c r="E110" s="66">
        <f>D110*E111*'Входные данные'!C48/10000</f>
        <v>36.643756267704696</v>
      </c>
      <c r="F110" s="66">
        <f>E110*F111*'Входные данные'!D48/10000</f>
        <v>39.782659260194848</v>
      </c>
      <c r="G110" s="66">
        <f>F110*G111*'Входные данные'!E48/10000</f>
        <v>48.008028348980609</v>
      </c>
      <c r="H110" s="66">
        <f>G110*H111*'Входные данные'!F48/10000</f>
        <v>57.844712562445856</v>
      </c>
    </row>
    <row r="111" spans="1:8" ht="31.2">
      <c r="A111" s="77"/>
      <c r="B111" s="43" t="s">
        <v>29</v>
      </c>
      <c r="C111" s="47" t="s">
        <v>18</v>
      </c>
      <c r="D111" s="44">
        <f>D110/(4575+34426)*100</f>
        <v>9.7256480603061454E-2</v>
      </c>
      <c r="E111" s="44">
        <v>91.5</v>
      </c>
      <c r="F111" s="44">
        <v>103.2</v>
      </c>
      <c r="G111" s="44">
        <v>115</v>
      </c>
      <c r="H111" s="44">
        <v>115</v>
      </c>
    </row>
    <row r="112" spans="1:8" ht="31.2">
      <c r="A112" s="14" t="s">
        <v>76</v>
      </c>
      <c r="B112" s="43" t="s">
        <v>177</v>
      </c>
      <c r="C112" s="47"/>
      <c r="D112" s="44"/>
      <c r="E112" s="44"/>
      <c r="F112" s="44"/>
      <c r="G112" s="44"/>
      <c r="H112" s="44"/>
    </row>
    <row r="113" spans="1:8" ht="31.2">
      <c r="A113" s="14" t="s">
        <v>63</v>
      </c>
      <c r="B113" s="43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100</v>
      </c>
      <c r="C115" s="19" t="s">
        <v>241</v>
      </c>
      <c r="D115" s="66">
        <v>6.6790000000000003</v>
      </c>
      <c r="E115" s="44"/>
      <c r="F115" s="44"/>
      <c r="G115" s="44"/>
      <c r="H115" s="44"/>
    </row>
    <row r="116" spans="1:8" ht="31.2">
      <c r="A116" s="14" t="s">
        <v>66</v>
      </c>
      <c r="B116" s="43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6.8">
      <c r="A117" s="14" t="s">
        <v>68</v>
      </c>
      <c r="B117" s="43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31.2">
      <c r="A119" s="14" t="s">
        <v>70</v>
      </c>
      <c r="B119" s="43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2">
      <c r="A120" s="14" t="s">
        <v>71</v>
      </c>
      <c r="B120" s="43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2">
      <c r="A122" s="14" t="s">
        <v>73</v>
      </c>
      <c r="B122" s="43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14" t="s">
        <v>178</v>
      </c>
      <c r="B123" s="43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2">
      <c r="A124" s="14" t="s">
        <v>179</v>
      </c>
      <c r="B124" s="43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2">
      <c r="A125" s="14" t="s">
        <v>180</v>
      </c>
      <c r="B125" s="43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2">
      <c r="A126" s="14" t="s">
        <v>181</v>
      </c>
      <c r="B126" s="43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6.8">
      <c r="A127" s="14" t="s">
        <v>182</v>
      </c>
      <c r="B127" s="43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14" t="s">
        <v>183</v>
      </c>
      <c r="B128" s="43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2">
      <c r="A129" s="14" t="s">
        <v>184</v>
      </c>
      <c r="B129" s="43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2">
      <c r="A130" s="14" t="s">
        <v>185</v>
      </c>
      <c r="B130" s="43" t="s">
        <v>115</v>
      </c>
      <c r="C130" s="19" t="s">
        <v>241</v>
      </c>
      <c r="D130" s="66">
        <v>31.251999999999999</v>
      </c>
      <c r="E130" s="44"/>
      <c r="F130" s="44"/>
      <c r="G130" s="44"/>
      <c r="H130" s="44"/>
    </row>
    <row r="131" spans="1:8">
      <c r="A131" s="14" t="s">
        <v>186</v>
      </c>
      <c r="B131" s="43" t="s">
        <v>116</v>
      </c>
      <c r="C131" s="19" t="s">
        <v>241</v>
      </c>
      <c r="D131" s="44"/>
      <c r="E131" s="44"/>
      <c r="F131" s="44"/>
      <c r="G131" s="44"/>
      <c r="H131" s="44"/>
    </row>
    <row r="132" spans="1:8" ht="31.2">
      <c r="A132" s="10" t="s">
        <v>77</v>
      </c>
      <c r="B132" s="35" t="s">
        <v>160</v>
      </c>
      <c r="C132" s="19" t="s">
        <v>241</v>
      </c>
      <c r="D132" s="66">
        <f>D110</f>
        <v>37.930999999999997</v>
      </c>
      <c r="E132" s="66">
        <f>E110</f>
        <v>36.643756267704696</v>
      </c>
      <c r="F132" s="66">
        <f>F110</f>
        <v>39.782659260194848</v>
      </c>
      <c r="G132" s="66">
        <f>G110</f>
        <v>48.008028348980609</v>
      </c>
      <c r="H132" s="66">
        <f>H110</f>
        <v>57.844712562445856</v>
      </c>
    </row>
    <row r="133" spans="1:8">
      <c r="A133" s="10" t="s">
        <v>49</v>
      </c>
      <c r="B133" s="35" t="s">
        <v>89</v>
      </c>
      <c r="C133" s="19" t="s">
        <v>241</v>
      </c>
      <c r="D133" s="66">
        <f>D132</f>
        <v>37.930999999999997</v>
      </c>
      <c r="E133" s="66">
        <f t="shared" ref="E133:H133" si="4">E132</f>
        <v>36.643756267704696</v>
      </c>
      <c r="F133" s="66">
        <f t="shared" si="4"/>
        <v>39.782659260194848</v>
      </c>
      <c r="G133" s="66">
        <f t="shared" si="4"/>
        <v>48.008028348980609</v>
      </c>
      <c r="H133" s="66">
        <f t="shared" si="4"/>
        <v>57.844712562445856</v>
      </c>
    </row>
    <row r="134" spans="1:8">
      <c r="A134" s="10" t="s">
        <v>50</v>
      </c>
      <c r="B134" s="35" t="s">
        <v>31</v>
      </c>
      <c r="C134" s="19" t="s">
        <v>241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35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10" t="s">
        <v>245</v>
      </c>
      <c r="B136" s="35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10" t="s">
        <v>246</v>
      </c>
      <c r="B137" s="35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10" t="s">
        <v>247</v>
      </c>
      <c r="B138" s="35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10" t="s">
        <v>244</v>
      </c>
      <c r="B139" s="35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2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2">
      <c r="A141" s="9">
        <v>1</v>
      </c>
      <c r="B141" s="35" t="s">
        <v>253</v>
      </c>
      <c r="C141" s="19" t="s">
        <v>241</v>
      </c>
      <c r="D141" s="44">
        <v>138025.79999999999</v>
      </c>
      <c r="E141" s="44">
        <v>167581.79999999999</v>
      </c>
      <c r="F141" s="44">
        <v>149223.4</v>
      </c>
      <c r="G141" s="44">
        <v>89260.7</v>
      </c>
      <c r="H141" s="44">
        <v>87819.9</v>
      </c>
    </row>
    <row r="142" spans="1:8">
      <c r="A142" s="18" t="s">
        <v>44</v>
      </c>
      <c r="B142" s="35" t="s">
        <v>37</v>
      </c>
      <c r="C142" s="19" t="s">
        <v>241</v>
      </c>
      <c r="D142" s="44">
        <v>100116.3</v>
      </c>
      <c r="E142" s="44">
        <v>90467.5</v>
      </c>
      <c r="F142" s="44">
        <v>86500</v>
      </c>
      <c r="G142" s="44">
        <v>86900</v>
      </c>
      <c r="H142" s="44">
        <v>87250</v>
      </c>
    </row>
    <row r="143" spans="1:8">
      <c r="A143" s="18" t="s">
        <v>91</v>
      </c>
      <c r="B143" s="35" t="s">
        <v>190</v>
      </c>
      <c r="C143" s="19" t="s">
        <v>241</v>
      </c>
      <c r="D143" s="44">
        <v>86021</v>
      </c>
      <c r="E143" s="44">
        <v>84696.5</v>
      </c>
      <c r="F143" s="44">
        <v>80870.600000000006</v>
      </c>
      <c r="G143" s="44">
        <v>82425</v>
      </c>
      <c r="H143" s="44">
        <v>82875</v>
      </c>
    </row>
    <row r="144" spans="1:8">
      <c r="A144" s="18" t="s">
        <v>67</v>
      </c>
      <c r="B144" s="35" t="s">
        <v>191</v>
      </c>
      <c r="C144" s="19" t="s">
        <v>241</v>
      </c>
      <c r="D144" s="44">
        <v>14095.3</v>
      </c>
      <c r="E144" s="44">
        <v>5771</v>
      </c>
      <c r="F144" s="44">
        <v>5629.4</v>
      </c>
      <c r="G144" s="44">
        <v>4475</v>
      </c>
      <c r="H144" s="44">
        <v>4375</v>
      </c>
    </row>
    <row r="145" spans="1:16384">
      <c r="A145" s="18" t="s">
        <v>45</v>
      </c>
      <c r="B145" s="35" t="s">
        <v>117</v>
      </c>
      <c r="C145" s="19" t="s">
        <v>241</v>
      </c>
      <c r="D145" s="44">
        <v>37909.5</v>
      </c>
      <c r="E145" s="44">
        <v>77114.3</v>
      </c>
      <c r="F145" s="44">
        <v>62723.4</v>
      </c>
      <c r="G145" s="44">
        <v>2360.6999999999998</v>
      </c>
      <c r="H145" s="44">
        <v>569.9</v>
      </c>
    </row>
    <row r="146" spans="1:16384" ht="31.2">
      <c r="A146" s="10">
        <v>2</v>
      </c>
      <c r="B146" s="35" t="s">
        <v>251</v>
      </c>
      <c r="C146" s="19" t="s">
        <v>241</v>
      </c>
      <c r="D146" s="44">
        <v>131046.6</v>
      </c>
      <c r="E146" s="44">
        <v>173739.3</v>
      </c>
      <c r="F146" s="44">
        <v>156966.6</v>
      </c>
      <c r="G146" s="44">
        <v>94890.7</v>
      </c>
      <c r="H146" s="44">
        <v>93390.7</v>
      </c>
    </row>
    <row r="147" spans="1:16384">
      <c r="A147" s="49" t="s">
        <v>63</v>
      </c>
      <c r="B147" s="3" t="s">
        <v>257</v>
      </c>
      <c r="C147" s="19" t="s">
        <v>241</v>
      </c>
      <c r="D147" s="44">
        <v>98654.2</v>
      </c>
      <c r="E147" s="44">
        <v>145472.5</v>
      </c>
      <c r="F147" s="44"/>
      <c r="G147" s="44"/>
      <c r="H147" s="44"/>
    </row>
    <row r="148" spans="1:16384" ht="31.2">
      <c r="A148" s="10">
        <v>3</v>
      </c>
      <c r="B148" s="60" t="s">
        <v>252</v>
      </c>
      <c r="C148" s="19" t="s">
        <v>241</v>
      </c>
      <c r="D148" s="44">
        <f>D141-D146</f>
        <v>6979.1999999999825</v>
      </c>
      <c r="E148" s="44">
        <f>E141-E146</f>
        <v>-6157.5</v>
      </c>
      <c r="F148" s="44">
        <f>F141-F146</f>
        <v>-7743.2000000000116</v>
      </c>
      <c r="G148" s="44">
        <f>G141-G146</f>
        <v>-5630</v>
      </c>
      <c r="H148" s="44">
        <f>H141-H146</f>
        <v>-5570.8000000000029</v>
      </c>
    </row>
    <row r="149" spans="1:16384">
      <c r="A149" s="10" t="s">
        <v>78</v>
      </c>
      <c r="B149" s="35" t="s">
        <v>88</v>
      </c>
      <c r="C149" s="19" t="s">
        <v>241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2">
      <c r="A151" s="10">
        <v>1</v>
      </c>
      <c r="B151" s="35" t="s">
        <v>39</v>
      </c>
      <c r="C151" s="19" t="s">
        <v>9</v>
      </c>
      <c r="D151" s="44">
        <f>D12</f>
        <v>9198.0064999999995</v>
      </c>
      <c r="E151" s="44">
        <f>D151*101.6%</f>
        <v>9345.1746039999998</v>
      </c>
      <c r="F151" s="44">
        <f>D151*103.3%</f>
        <v>9501.540714499999</v>
      </c>
      <c r="G151" s="44">
        <f>D151*103.86%</f>
        <v>9553.0495508999993</v>
      </c>
      <c r="H151" s="44">
        <f>D151*104.97%</f>
        <v>9655.1474230500007</v>
      </c>
    </row>
    <row r="152" spans="1:16384" ht="46.8">
      <c r="A152" s="10" t="s">
        <v>76</v>
      </c>
      <c r="B152" s="35" t="s">
        <v>41</v>
      </c>
      <c r="C152" s="19" t="s">
        <v>9</v>
      </c>
      <c r="D152" s="44">
        <v>19</v>
      </c>
      <c r="E152" s="44">
        <f>D152*42.9%</f>
        <v>8.1509999999999998</v>
      </c>
      <c r="F152" s="44">
        <f>D152*41.58%</f>
        <v>7.9001999999999999</v>
      </c>
      <c r="G152" s="44">
        <f>D152*32.1%</f>
        <v>6.0990000000000002</v>
      </c>
      <c r="H152" s="44">
        <f>D152*27%</f>
        <v>5.1300000000000008</v>
      </c>
    </row>
    <row r="153" spans="1:16384" ht="31.2">
      <c r="A153" s="10" t="s">
        <v>77</v>
      </c>
      <c r="B153" s="35" t="s">
        <v>40</v>
      </c>
      <c r="C153" s="19" t="s">
        <v>7</v>
      </c>
      <c r="D153" s="44">
        <v>0.24</v>
      </c>
      <c r="E153" s="44">
        <f>E152/E151*100</f>
        <v>8.7221484299620691E-2</v>
      </c>
      <c r="F153" s="44">
        <f>F152/F151*100</f>
        <v>8.3146515258770148E-2</v>
      </c>
      <c r="G153" s="44">
        <f>G152/G151*100</f>
        <v>6.3843487542942862E-2</v>
      </c>
      <c r="H153" s="44">
        <f>H152/H151*100</f>
        <v>5.3132280380856843E-2</v>
      </c>
    </row>
    <row r="154" spans="1:16384" ht="46.8">
      <c r="A154" s="10" t="s">
        <v>78</v>
      </c>
      <c r="B154" s="35" t="s">
        <v>42</v>
      </c>
      <c r="C154" s="19" t="s">
        <v>43</v>
      </c>
      <c r="D154" s="44">
        <v>246</v>
      </c>
      <c r="E154" s="44">
        <f>D154*E153*10</f>
        <v>214.5648513770669</v>
      </c>
      <c r="F154" s="44">
        <f>D154*F153*10</f>
        <v>204.54042753657458</v>
      </c>
      <c r="G154" s="44">
        <f>D154*G153*10</f>
        <v>157.05497935563943</v>
      </c>
      <c r="H154" s="44">
        <f>D154*H153*10</f>
        <v>130.70540973690785</v>
      </c>
    </row>
    <row r="155" spans="1:16384" s="13" customFormat="1" ht="31.2">
      <c r="A155" s="9" t="s">
        <v>79</v>
      </c>
      <c r="B155" s="35" t="s">
        <v>118</v>
      </c>
      <c r="C155" s="19" t="s">
        <v>9</v>
      </c>
      <c r="D155" s="44">
        <v>1417</v>
      </c>
      <c r="E155" s="44">
        <v>1373</v>
      </c>
      <c r="F155" s="44">
        <v>1384.8</v>
      </c>
      <c r="G155" s="44">
        <v>1043.9000000000001</v>
      </c>
      <c r="H155" s="44">
        <v>1413.5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76" t="s">
        <v>84</v>
      </c>
      <c r="B156" s="73" t="s">
        <v>188</v>
      </c>
      <c r="C156" s="19" t="s">
        <v>163</v>
      </c>
      <c r="D156" s="44">
        <v>30403.83</v>
      </c>
      <c r="E156" s="44">
        <f>D156*104%</f>
        <v>31619.983200000002</v>
      </c>
      <c r="F156" s="44">
        <f>D156*F157%</f>
        <v>32228.059800000003</v>
      </c>
      <c r="G156" s="44">
        <f>D156*G157%</f>
        <v>32167.252140000004</v>
      </c>
      <c r="H156" s="44">
        <f>D156*H157%</f>
        <v>32471.290440000004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76"/>
      <c r="B157" s="73"/>
      <c r="C157" s="19" t="s">
        <v>19</v>
      </c>
      <c r="D157" s="44">
        <f>D156/26614.5*100</f>
        <v>114.23784027503805</v>
      </c>
      <c r="E157" s="44">
        <f>E156/D156*100</f>
        <v>104</v>
      </c>
      <c r="F157" s="44">
        <v>106</v>
      </c>
      <c r="G157" s="44">
        <v>105.8</v>
      </c>
      <c r="H157" s="44">
        <v>106.8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2">
      <c r="A158" s="14" t="s">
        <v>85</v>
      </c>
      <c r="B158" s="43" t="s">
        <v>189</v>
      </c>
      <c r="C158" s="47" t="s">
        <v>241</v>
      </c>
      <c r="D158" s="44">
        <v>512</v>
      </c>
      <c r="E158" s="44">
        <f>E156*E155*12/1000000</f>
        <v>520.97084320319993</v>
      </c>
      <c r="F158" s="44">
        <f>F156*F155*12/1000000</f>
        <v>535.55300653248003</v>
      </c>
      <c r="G158" s="44">
        <f>G156*G155*12/1000000</f>
        <v>402.95273410735211</v>
      </c>
      <c r="H158" s="44">
        <f>H156*H155*12/1000000</f>
        <v>550.77802844328005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topLeftCell="A148" zoomScale="120" zoomScaleNormal="100" zoomScaleSheetLayoutView="120" zoomScalePageLayoutView="120" workbookViewId="0">
      <selection activeCell="D88" sqref="D88"/>
    </sheetView>
  </sheetViews>
  <sheetFormatPr defaultColWidth="9.109375" defaultRowHeight="15.6"/>
  <cols>
    <col min="1" max="1" width="9" style="24" customWidth="1"/>
    <col min="2" max="2" width="49.5546875" style="36" customWidth="1"/>
    <col min="3" max="3" width="24.88671875" style="38" customWidth="1"/>
    <col min="4" max="4" width="12.5546875" style="38" customWidth="1"/>
    <col min="5" max="5" width="15" style="38" customWidth="1"/>
    <col min="6" max="6" width="12.88671875" style="38" customWidth="1"/>
    <col min="7" max="7" width="12.44140625" style="38" customWidth="1"/>
    <col min="8" max="8" width="14.44140625" style="38" customWidth="1"/>
    <col min="9" max="16384" width="9.109375" style="1"/>
  </cols>
  <sheetData>
    <row r="1" spans="1:8" ht="17.399999999999999">
      <c r="A1" s="89" t="s">
        <v>94</v>
      </c>
      <c r="B1" s="89"/>
      <c r="C1" s="89"/>
      <c r="D1" s="89"/>
      <c r="E1" s="89"/>
      <c r="F1" s="89"/>
      <c r="G1" s="89"/>
      <c r="H1" s="89"/>
    </row>
    <row r="2" spans="1:8" ht="42.75" customHeight="1">
      <c r="A2" s="90" t="s">
        <v>265</v>
      </c>
      <c r="B2" s="91"/>
      <c r="C2" s="91"/>
      <c r="D2" s="91"/>
      <c r="E2" s="91"/>
      <c r="F2" s="91"/>
      <c r="G2" s="91"/>
      <c r="H2" s="91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9" t="s">
        <v>0</v>
      </c>
      <c r="B4" s="92" t="s">
        <v>1</v>
      </c>
      <c r="C4" s="69" t="s">
        <v>2</v>
      </c>
      <c r="D4" s="50" t="s">
        <v>3</v>
      </c>
      <c r="E4" s="50" t="s">
        <v>93</v>
      </c>
      <c r="F4" s="69" t="s">
        <v>4</v>
      </c>
      <c r="G4" s="93"/>
      <c r="H4" s="93"/>
    </row>
    <row r="5" spans="1:8">
      <c r="A5" s="69"/>
      <c r="B5" s="92"/>
      <c r="C5" s="69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>
      <c r="A7" s="53">
        <v>1</v>
      </c>
      <c r="B7" s="56" t="s">
        <v>235</v>
      </c>
      <c r="C7" s="19" t="s">
        <v>9</v>
      </c>
      <c r="D7" s="44"/>
      <c r="E7" s="44">
        <f>D7+D14-D15+D16</f>
        <v>0</v>
      </c>
      <c r="F7" s="44">
        <f>E7+E14-E15+E16</f>
        <v>0</v>
      </c>
      <c r="G7" s="44">
        <f>F7+F14-F15+F16</f>
        <v>0</v>
      </c>
      <c r="H7" s="44">
        <f>G7+G14-G15+G16</f>
        <v>0</v>
      </c>
    </row>
    <row r="8" spans="1:8">
      <c r="A8" s="53" t="s">
        <v>44</v>
      </c>
      <c r="B8" s="56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53" t="s">
        <v>45</v>
      </c>
      <c r="B9" s="56" t="s">
        <v>226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2">
      <c r="A10" s="53" t="s">
        <v>76</v>
      </c>
      <c r="B10" s="56" t="s">
        <v>234</v>
      </c>
      <c r="C10" s="19" t="s">
        <v>9</v>
      </c>
      <c r="D10" s="44"/>
      <c r="E10" s="44"/>
      <c r="F10" s="44"/>
      <c r="G10" s="44"/>
      <c r="H10" s="44"/>
    </row>
    <row r="11" spans="1:8" ht="31.2">
      <c r="A11" s="53" t="s">
        <v>77</v>
      </c>
      <c r="B11" s="56" t="s">
        <v>232</v>
      </c>
      <c r="C11" s="19" t="s">
        <v>9</v>
      </c>
      <c r="D11" s="44"/>
      <c r="E11" s="44"/>
      <c r="F11" s="44"/>
      <c r="G11" s="44"/>
      <c r="H11" s="44"/>
    </row>
    <row r="12" spans="1:8" ht="31.2">
      <c r="A12" s="53" t="s">
        <v>78</v>
      </c>
      <c r="B12" s="56" t="s">
        <v>233</v>
      </c>
      <c r="C12" s="19" t="s">
        <v>9</v>
      </c>
      <c r="D12" s="44"/>
      <c r="E12" s="44">
        <f>E7-E11-E10</f>
        <v>0</v>
      </c>
      <c r="F12" s="44">
        <f t="shared" ref="F12:H12" si="1">F7-F11-F10</f>
        <v>0</v>
      </c>
      <c r="G12" s="44">
        <f t="shared" si="1"/>
        <v>0</v>
      </c>
      <c r="H12" s="44">
        <f t="shared" si="1"/>
        <v>0</v>
      </c>
    </row>
    <row r="13" spans="1:8">
      <c r="A13" s="57" t="s">
        <v>79</v>
      </c>
      <c r="B13" s="56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>
      <c r="A14" s="51" t="s">
        <v>84</v>
      </c>
      <c r="B14" s="56" t="s">
        <v>74</v>
      </c>
      <c r="C14" s="19" t="s">
        <v>9</v>
      </c>
      <c r="D14" s="44"/>
      <c r="E14" s="44"/>
      <c r="F14" s="44"/>
      <c r="G14" s="44"/>
      <c r="H14" s="44"/>
    </row>
    <row r="15" spans="1:8">
      <c r="A15" s="51" t="s">
        <v>85</v>
      </c>
      <c r="B15" s="56" t="s">
        <v>75</v>
      </c>
      <c r="C15" s="19" t="s">
        <v>9</v>
      </c>
      <c r="D15" s="44"/>
      <c r="E15" s="44"/>
      <c r="F15" s="44"/>
      <c r="G15" s="44"/>
      <c r="H15" s="44"/>
    </row>
    <row r="16" spans="1:8">
      <c r="A16" s="51" t="s">
        <v>86</v>
      </c>
      <c r="B16" s="56" t="s">
        <v>90</v>
      </c>
      <c r="C16" s="19" t="s">
        <v>9</v>
      </c>
      <c r="D16" s="44"/>
      <c r="E16" s="44"/>
      <c r="F16" s="44"/>
      <c r="G16" s="44"/>
      <c r="H16" s="44"/>
    </row>
    <row r="17" spans="1:8" ht="31.2">
      <c r="A17" s="51" t="s">
        <v>155</v>
      </c>
      <c r="B17" s="56" t="s">
        <v>10</v>
      </c>
      <c r="C17" s="19" t="s">
        <v>242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2">
      <c r="A18" s="51" t="s">
        <v>156</v>
      </c>
      <c r="B18" s="56" t="s">
        <v>11</v>
      </c>
      <c r="C18" s="19" t="s">
        <v>242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2">
      <c r="A19" s="51" t="s">
        <v>157</v>
      </c>
      <c r="B19" s="56" t="s">
        <v>12</v>
      </c>
      <c r="C19" s="19" t="s">
        <v>242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2">
      <c r="A20" s="51" t="s">
        <v>158</v>
      </c>
      <c r="B20" s="56" t="s">
        <v>13</v>
      </c>
      <c r="C20" s="19" t="s">
        <v>242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>
      <c r="A22" s="83">
        <v>1</v>
      </c>
      <c r="B22" s="81" t="s">
        <v>119</v>
      </c>
      <c r="C22" s="19" t="s">
        <v>241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2">
      <c r="A23" s="83"/>
      <c r="B23" s="82"/>
      <c r="C23" s="47" t="s">
        <v>259</v>
      </c>
      <c r="D23" s="44"/>
      <c r="E23" s="61" t="e">
        <f>E22/D22*100</f>
        <v>#DIV/0!</v>
      </c>
      <c r="F23" s="61" t="e">
        <f>F22/E22*100</f>
        <v>#DIV/0!</v>
      </c>
      <c r="G23" s="61" t="e">
        <f>G22/F22*100</f>
        <v>#DIV/0!</v>
      </c>
      <c r="H23" s="61" t="e">
        <f>H22/G22*100</f>
        <v>#DIV/0!</v>
      </c>
    </row>
    <row r="24" spans="1:8" ht="47.25" customHeight="1">
      <c r="A24" s="83" t="s">
        <v>76</v>
      </c>
      <c r="B24" s="81" t="s">
        <v>194</v>
      </c>
      <c r="C24" s="19" t="s">
        <v>241</v>
      </c>
      <c r="D24" s="44"/>
      <c r="E24" s="44"/>
      <c r="F24" s="44"/>
      <c r="G24" s="44"/>
      <c r="H24" s="44"/>
    </row>
    <row r="25" spans="1:8" ht="31.2">
      <c r="A25" s="83"/>
      <c r="B25" s="82"/>
      <c r="C25" s="47" t="s">
        <v>259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>
      <c r="A26" s="84">
        <v>3</v>
      </c>
      <c r="B26" s="81" t="s">
        <v>195</v>
      </c>
      <c r="C26" s="19" t="s">
        <v>241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2">
      <c r="A27" s="84"/>
      <c r="B27" s="82"/>
      <c r="C27" s="47" t="s">
        <v>259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2">
      <c r="A28" s="63"/>
      <c r="B28" s="62" t="s">
        <v>260</v>
      </c>
      <c r="C28" s="47"/>
      <c r="D28" s="48"/>
      <c r="E28" s="48"/>
      <c r="F28" s="48"/>
      <c r="G28" s="48"/>
      <c r="H28" s="48"/>
    </row>
    <row r="29" spans="1:8" ht="18" customHeight="1">
      <c r="A29" s="75" t="s">
        <v>49</v>
      </c>
      <c r="B29" s="81" t="s">
        <v>120</v>
      </c>
      <c r="C29" s="19" t="s">
        <v>241</v>
      </c>
      <c r="D29" s="44"/>
      <c r="E29" s="44"/>
      <c r="F29" s="44"/>
      <c r="G29" s="44"/>
      <c r="H29" s="44"/>
    </row>
    <row r="30" spans="1:8" ht="31.2">
      <c r="A30" s="75"/>
      <c r="B30" s="82"/>
      <c r="C30" s="47" t="s">
        <v>259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>
      <c r="A31" s="75" t="s">
        <v>50</v>
      </c>
      <c r="B31" s="81" t="s">
        <v>121</v>
      </c>
      <c r="C31" s="19" t="s">
        <v>241</v>
      </c>
      <c r="D31" s="44"/>
      <c r="E31" s="44"/>
      <c r="F31" s="44"/>
      <c r="G31" s="44"/>
      <c r="H31" s="44"/>
    </row>
    <row r="32" spans="1:8" ht="31.2">
      <c r="A32" s="75"/>
      <c r="B32" s="82"/>
      <c r="C32" s="47" t="s">
        <v>259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>
      <c r="A33" s="75" t="s">
        <v>51</v>
      </c>
      <c r="B33" s="81" t="s">
        <v>122</v>
      </c>
      <c r="C33" s="19" t="s">
        <v>241</v>
      </c>
      <c r="D33" s="44"/>
      <c r="E33" s="44"/>
      <c r="F33" s="44"/>
      <c r="G33" s="44"/>
      <c r="H33" s="44"/>
    </row>
    <row r="34" spans="1:8" ht="31.2">
      <c r="A34" s="75"/>
      <c r="B34" s="82"/>
      <c r="C34" s="47" t="s">
        <v>259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>
      <c r="A35" s="75" t="s">
        <v>52</v>
      </c>
      <c r="B35" s="81" t="s">
        <v>123</v>
      </c>
      <c r="C35" s="19" t="s">
        <v>241</v>
      </c>
      <c r="D35" s="44"/>
      <c r="E35" s="44"/>
      <c r="F35" s="44"/>
      <c r="G35" s="44"/>
      <c r="H35" s="44"/>
    </row>
    <row r="36" spans="1:8" ht="31.2">
      <c r="A36" s="75"/>
      <c r="B36" s="82"/>
      <c r="C36" s="47" t="s">
        <v>259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>
      <c r="A37" s="75" t="s">
        <v>53</v>
      </c>
      <c r="B37" s="81" t="s">
        <v>124</v>
      </c>
      <c r="C37" s="19" t="s">
        <v>241</v>
      </c>
      <c r="D37" s="44"/>
      <c r="E37" s="44"/>
      <c r="F37" s="44"/>
      <c r="G37" s="44"/>
      <c r="H37" s="44"/>
    </row>
    <row r="38" spans="1:8" ht="31.2">
      <c r="A38" s="75"/>
      <c r="B38" s="82"/>
      <c r="C38" s="47" t="s">
        <v>259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>
      <c r="A39" s="75" t="s">
        <v>54</v>
      </c>
      <c r="B39" s="81" t="s">
        <v>125</v>
      </c>
      <c r="C39" s="19" t="s">
        <v>241</v>
      </c>
      <c r="D39" s="44"/>
      <c r="E39" s="44"/>
      <c r="F39" s="44"/>
      <c r="G39" s="44"/>
      <c r="H39" s="44"/>
    </row>
    <row r="40" spans="1:8" ht="31.2">
      <c r="A40" s="75"/>
      <c r="B40" s="82"/>
      <c r="C40" s="47" t="s">
        <v>259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>
      <c r="A41" s="75" t="s">
        <v>55</v>
      </c>
      <c r="B41" s="81" t="s">
        <v>126</v>
      </c>
      <c r="C41" s="19" t="s">
        <v>241</v>
      </c>
      <c r="D41" s="44"/>
      <c r="E41" s="44"/>
      <c r="F41" s="44"/>
      <c r="G41" s="44"/>
      <c r="H41" s="44"/>
    </row>
    <row r="42" spans="1:8" ht="31.2">
      <c r="A42" s="75"/>
      <c r="B42" s="82"/>
      <c r="C42" s="47" t="s">
        <v>259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>
      <c r="A43" s="75" t="s">
        <v>56</v>
      </c>
      <c r="B43" s="81" t="s">
        <v>127</v>
      </c>
      <c r="C43" s="19" t="s">
        <v>241</v>
      </c>
      <c r="D43" s="44"/>
      <c r="E43" s="44"/>
      <c r="F43" s="44"/>
      <c r="G43" s="44"/>
      <c r="H43" s="44"/>
    </row>
    <row r="44" spans="1:8" ht="31.2">
      <c r="A44" s="75"/>
      <c r="B44" s="82"/>
      <c r="C44" s="47" t="s">
        <v>259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>
      <c r="A45" s="75" t="s">
        <v>57</v>
      </c>
      <c r="B45" s="81" t="s">
        <v>128</v>
      </c>
      <c r="C45" s="19" t="s">
        <v>241</v>
      </c>
      <c r="D45" s="44"/>
      <c r="E45" s="44"/>
      <c r="F45" s="44"/>
      <c r="G45" s="44"/>
      <c r="H45" s="44"/>
    </row>
    <row r="46" spans="1:8" ht="31.2">
      <c r="A46" s="75"/>
      <c r="B46" s="82"/>
      <c r="C46" s="47" t="s">
        <v>259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>
      <c r="A47" s="75" t="s">
        <v>58</v>
      </c>
      <c r="B47" s="81" t="s">
        <v>129</v>
      </c>
      <c r="C47" s="19" t="s">
        <v>241</v>
      </c>
      <c r="D47" s="44"/>
      <c r="E47" s="44"/>
      <c r="F47" s="44"/>
      <c r="G47" s="44"/>
      <c r="H47" s="44"/>
    </row>
    <row r="48" spans="1:8" ht="31.2">
      <c r="A48" s="75"/>
      <c r="B48" s="82"/>
      <c r="C48" s="47" t="s">
        <v>259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>
      <c r="A49" s="75" t="s">
        <v>59</v>
      </c>
      <c r="B49" s="81" t="s">
        <v>130</v>
      </c>
      <c r="C49" s="19" t="s">
        <v>241</v>
      </c>
      <c r="D49" s="44"/>
      <c r="E49" s="44"/>
      <c r="F49" s="44"/>
      <c r="G49" s="44"/>
      <c r="H49" s="44"/>
    </row>
    <row r="50" spans="1:8" ht="31.2">
      <c r="A50" s="75"/>
      <c r="B50" s="82"/>
      <c r="C50" s="47" t="s">
        <v>259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>
      <c r="A51" s="75" t="s">
        <v>60</v>
      </c>
      <c r="B51" s="81" t="s">
        <v>131</v>
      </c>
      <c r="C51" s="19" t="s">
        <v>241</v>
      </c>
      <c r="D51" s="44"/>
      <c r="E51" s="44"/>
      <c r="F51" s="44"/>
      <c r="G51" s="44"/>
      <c r="H51" s="44"/>
    </row>
    <row r="52" spans="1:8" ht="31.2">
      <c r="A52" s="75"/>
      <c r="B52" s="82"/>
      <c r="C52" s="47" t="s">
        <v>259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>
      <c r="A53" s="75" t="s">
        <v>61</v>
      </c>
      <c r="B53" s="81" t="s">
        <v>132</v>
      </c>
      <c r="C53" s="19" t="s">
        <v>241</v>
      </c>
      <c r="D53" s="44"/>
      <c r="E53" s="44"/>
      <c r="F53" s="44"/>
      <c r="G53" s="44"/>
      <c r="H53" s="44"/>
    </row>
    <row r="54" spans="1:8" ht="31.2">
      <c r="A54" s="75"/>
      <c r="B54" s="82"/>
      <c r="C54" s="47" t="s">
        <v>259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>
      <c r="A55" s="75" t="s">
        <v>62</v>
      </c>
      <c r="B55" s="81" t="s">
        <v>133</v>
      </c>
      <c r="C55" s="19" t="s">
        <v>241</v>
      </c>
      <c r="D55" s="44"/>
      <c r="E55" s="44"/>
      <c r="F55" s="44"/>
      <c r="G55" s="44"/>
      <c r="H55" s="44"/>
    </row>
    <row r="56" spans="1:8" ht="31.2">
      <c r="A56" s="75"/>
      <c r="B56" s="82"/>
      <c r="C56" s="47" t="s">
        <v>259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>
      <c r="A57" s="75" t="s">
        <v>135</v>
      </c>
      <c r="B57" s="81" t="s">
        <v>134</v>
      </c>
      <c r="C57" s="19" t="s">
        <v>241</v>
      </c>
      <c r="D57" s="44"/>
      <c r="E57" s="44"/>
      <c r="F57" s="44"/>
      <c r="G57" s="44"/>
      <c r="H57" s="44"/>
    </row>
    <row r="58" spans="1:8" ht="31.2">
      <c r="A58" s="75"/>
      <c r="B58" s="82"/>
      <c r="C58" s="47" t="s">
        <v>259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>
      <c r="A59" s="75" t="s">
        <v>137</v>
      </c>
      <c r="B59" s="81" t="s">
        <v>136</v>
      </c>
      <c r="C59" s="19" t="s">
        <v>241</v>
      </c>
      <c r="D59" s="44"/>
      <c r="E59" s="44"/>
      <c r="F59" s="44"/>
      <c r="G59" s="44"/>
      <c r="H59" s="44"/>
    </row>
    <row r="60" spans="1:8" ht="31.2">
      <c r="A60" s="75"/>
      <c r="B60" s="82"/>
      <c r="C60" s="47" t="s">
        <v>259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>
      <c r="A61" s="75" t="s">
        <v>138</v>
      </c>
      <c r="B61" s="81" t="s">
        <v>139</v>
      </c>
      <c r="C61" s="19" t="s">
        <v>241</v>
      </c>
      <c r="D61" s="44"/>
      <c r="E61" s="44"/>
      <c r="F61" s="44"/>
      <c r="G61" s="44"/>
      <c r="H61" s="44"/>
    </row>
    <row r="62" spans="1:8" ht="31.2">
      <c r="A62" s="75"/>
      <c r="B62" s="82"/>
      <c r="C62" s="47" t="s">
        <v>259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>
      <c r="A63" s="75" t="s">
        <v>140</v>
      </c>
      <c r="B63" s="81" t="s">
        <v>141</v>
      </c>
      <c r="C63" s="19" t="s">
        <v>241</v>
      </c>
      <c r="D63" s="44"/>
      <c r="E63" s="44"/>
      <c r="F63" s="44"/>
      <c r="G63" s="44"/>
      <c r="H63" s="44"/>
    </row>
    <row r="64" spans="1:8" ht="31.2">
      <c r="A64" s="75"/>
      <c r="B64" s="82"/>
      <c r="C64" s="47" t="s">
        <v>259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>
      <c r="A65" s="75" t="s">
        <v>142</v>
      </c>
      <c r="B65" s="81" t="s">
        <v>143</v>
      </c>
      <c r="C65" s="19" t="s">
        <v>241</v>
      </c>
      <c r="D65" s="44"/>
      <c r="E65" s="44"/>
      <c r="F65" s="44"/>
      <c r="G65" s="44"/>
      <c r="H65" s="44"/>
    </row>
    <row r="66" spans="1:16384" ht="31.2">
      <c r="A66" s="75"/>
      <c r="B66" s="82"/>
      <c r="C66" s="47" t="s">
        <v>259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>
      <c r="A67" s="75" t="s">
        <v>144</v>
      </c>
      <c r="B67" s="81" t="s">
        <v>145</v>
      </c>
      <c r="C67" s="19" t="s">
        <v>241</v>
      </c>
      <c r="D67" s="44"/>
      <c r="E67" s="44"/>
      <c r="F67" s="44"/>
      <c r="G67" s="44"/>
      <c r="H67" s="44"/>
    </row>
    <row r="68" spans="1:16384" ht="31.2">
      <c r="A68" s="75"/>
      <c r="B68" s="82"/>
      <c r="C68" s="47" t="s">
        <v>259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>
      <c r="A69" s="75" t="s">
        <v>146</v>
      </c>
      <c r="B69" s="81" t="s">
        <v>147</v>
      </c>
      <c r="C69" s="19" t="s">
        <v>241</v>
      </c>
      <c r="D69" s="44"/>
      <c r="E69" s="44"/>
      <c r="F69" s="44"/>
      <c r="G69" s="44"/>
      <c r="H69" s="44"/>
      <c r="I69" s="13"/>
      <c r="J69" s="13"/>
      <c r="K69" s="13"/>
    </row>
    <row r="70" spans="1:16384" ht="31.2">
      <c r="A70" s="75"/>
      <c r="B70" s="82"/>
      <c r="C70" s="47" t="s">
        <v>259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>
      <c r="A71" s="75" t="s">
        <v>148</v>
      </c>
      <c r="B71" s="81" t="s">
        <v>149</v>
      </c>
      <c r="C71" s="19" t="s">
        <v>241</v>
      </c>
      <c r="D71" s="44"/>
      <c r="E71" s="44"/>
      <c r="F71" s="44"/>
      <c r="G71" s="44"/>
      <c r="H71" s="44"/>
      <c r="I71" s="13"/>
      <c r="J71" s="13"/>
      <c r="K71" s="13"/>
    </row>
    <row r="72" spans="1:16384" ht="31.2">
      <c r="A72" s="75"/>
      <c r="B72" s="82"/>
      <c r="C72" s="47" t="s">
        <v>259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>
      <c r="A73" s="75" t="s">
        <v>150</v>
      </c>
      <c r="B73" s="81" t="s">
        <v>151</v>
      </c>
      <c r="C73" s="19" t="s">
        <v>241</v>
      </c>
      <c r="D73" s="44"/>
      <c r="E73" s="44"/>
      <c r="F73" s="44"/>
      <c r="G73" s="44"/>
      <c r="H73" s="44"/>
      <c r="I73" s="13"/>
      <c r="J73" s="13"/>
      <c r="K73" s="13"/>
    </row>
    <row r="74" spans="1:16384" ht="31.2">
      <c r="A74" s="75"/>
      <c r="B74" s="82"/>
      <c r="C74" s="47" t="s">
        <v>259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>
      <c r="A75" s="75" t="s">
        <v>152</v>
      </c>
      <c r="B75" s="81" t="s">
        <v>153</v>
      </c>
      <c r="C75" s="19" t="s">
        <v>241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2">
      <c r="A76" s="75"/>
      <c r="B76" s="82"/>
      <c r="C76" s="47" t="s">
        <v>259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75">
        <v>4</v>
      </c>
      <c r="B77" s="81" t="s">
        <v>196</v>
      </c>
      <c r="C77" s="19" t="s">
        <v>241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2">
      <c r="A78" s="75"/>
      <c r="B78" s="82"/>
      <c r="C78" s="47" t="s">
        <v>259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75" t="s">
        <v>79</v>
      </c>
      <c r="B79" s="81" t="s">
        <v>197</v>
      </c>
      <c r="C79" s="19" t="s">
        <v>241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2">
      <c r="A80" s="75"/>
      <c r="B80" s="82"/>
      <c r="C80" s="47" t="s">
        <v>259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>
      <c r="A82" s="75">
        <v>1</v>
      </c>
      <c r="B82" s="94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2">
      <c r="A83" s="75"/>
      <c r="B83" s="95"/>
      <c r="C83" s="47" t="s">
        <v>259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5" t="s">
        <v>44</v>
      </c>
      <c r="B84" s="94" t="s">
        <v>96</v>
      </c>
      <c r="C84" s="19" t="s">
        <v>241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2">
      <c r="A85" s="75"/>
      <c r="B85" s="95"/>
      <c r="C85" s="47" t="s">
        <v>259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5" t="s">
        <v>45</v>
      </c>
      <c r="B86" s="94" t="s">
        <v>97</v>
      </c>
      <c r="C86" s="19" t="s">
        <v>241</v>
      </c>
      <c r="D86" s="44"/>
      <c r="E86" s="44"/>
      <c r="F86" s="44"/>
      <c r="G86" s="44"/>
      <c r="H86" s="44"/>
    </row>
    <row r="87" spans="1:16384" ht="31.2">
      <c r="A87" s="75"/>
      <c r="B87" s="95"/>
      <c r="C87" s="47" t="s">
        <v>259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87">
        <v>1</v>
      </c>
      <c r="B89" s="94" t="s">
        <v>161</v>
      </c>
      <c r="C89" s="19" t="s">
        <v>241</v>
      </c>
      <c r="D89" s="44"/>
      <c r="E89" s="44"/>
      <c r="F89" s="44"/>
      <c r="G89" s="44"/>
      <c r="H89" s="44"/>
    </row>
    <row r="90" spans="1:16384" ht="31.2">
      <c r="A90" s="88"/>
      <c r="B90" s="95"/>
      <c r="C90" s="47" t="s">
        <v>259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2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2">
      <c r="A92" s="51" t="s">
        <v>63</v>
      </c>
      <c r="B92" s="56" t="s">
        <v>239</v>
      </c>
      <c r="C92" s="19" t="s">
        <v>33</v>
      </c>
      <c r="D92" s="44"/>
      <c r="E92" s="44"/>
      <c r="F92" s="44"/>
      <c r="G92" s="44"/>
      <c r="H92" s="44"/>
    </row>
    <row r="93" spans="1:16384" ht="31.2">
      <c r="A93" s="51">
        <v>3</v>
      </c>
      <c r="B93" s="56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2">
      <c r="A95" s="51" t="s">
        <v>154</v>
      </c>
      <c r="B95" s="56" t="s">
        <v>92</v>
      </c>
      <c r="C95" s="19" t="s">
        <v>87</v>
      </c>
      <c r="D95" s="44"/>
      <c r="E95" s="44"/>
      <c r="F95" s="44"/>
      <c r="G95" s="44"/>
      <c r="H95" s="44"/>
    </row>
    <row r="96" spans="1:16384" ht="46.8">
      <c r="A96" s="57" t="s">
        <v>76</v>
      </c>
      <c r="B96" s="56" t="s">
        <v>224</v>
      </c>
      <c r="C96" s="19" t="s">
        <v>87</v>
      </c>
      <c r="D96" s="44"/>
      <c r="E96" s="44"/>
      <c r="F96" s="44"/>
      <c r="G96" s="44"/>
      <c r="H96" s="44"/>
    </row>
    <row r="97" spans="1:8" ht="62.4">
      <c r="A97" s="57" t="s">
        <v>77</v>
      </c>
      <c r="B97" s="56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>
      <c r="A99" s="85">
        <v>1</v>
      </c>
      <c r="B99" s="74" t="s">
        <v>193</v>
      </c>
      <c r="C99" s="19" t="s">
        <v>241</v>
      </c>
      <c r="D99" s="44"/>
      <c r="E99" s="44"/>
      <c r="F99" s="44"/>
      <c r="G99" s="44"/>
      <c r="H99" s="44"/>
    </row>
    <row r="100" spans="1:8" ht="31.2">
      <c r="A100" s="85"/>
      <c r="B100" s="74"/>
      <c r="C100" s="47" t="s">
        <v>259</v>
      </c>
      <c r="D100" s="44"/>
      <c r="E100" s="61" t="e">
        <f>E99/D99*100</f>
        <v>#DIV/0!</v>
      </c>
      <c r="F100" s="61" t="e">
        <f>F99/E99*100</f>
        <v>#DIV/0!</v>
      </c>
      <c r="G100" s="61" t="e">
        <f>G99/F99*100</f>
        <v>#DIV/0!</v>
      </c>
      <c r="H100" s="61" t="e">
        <f>H99/G99*100</f>
        <v>#DIV/0!</v>
      </c>
    </row>
    <row r="101" spans="1:8">
      <c r="A101" s="86" t="s">
        <v>76</v>
      </c>
      <c r="B101" s="73" t="s">
        <v>83</v>
      </c>
      <c r="C101" s="19" t="s">
        <v>241</v>
      </c>
      <c r="D101" s="44"/>
      <c r="E101" s="44"/>
      <c r="F101" s="44"/>
      <c r="G101" s="44"/>
      <c r="H101" s="44"/>
    </row>
    <row r="102" spans="1:8" ht="31.2">
      <c r="A102" s="86"/>
      <c r="B102" s="73"/>
      <c r="C102" s="47" t="s">
        <v>259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>
      <c r="A103" s="79" t="s">
        <v>77</v>
      </c>
      <c r="B103" s="81" t="s">
        <v>261</v>
      </c>
      <c r="C103" s="19" t="s">
        <v>241</v>
      </c>
      <c r="D103" s="44"/>
      <c r="E103" s="61"/>
      <c r="F103" s="61"/>
      <c r="G103" s="61"/>
      <c r="H103" s="61"/>
    </row>
    <row r="104" spans="1:8" ht="31.2">
      <c r="A104" s="80"/>
      <c r="B104" s="82"/>
      <c r="C104" s="47" t="s">
        <v>259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>
      <c r="A105" s="11" t="s">
        <v>27</v>
      </c>
      <c r="B105" s="59" t="s">
        <v>248</v>
      </c>
      <c r="C105" s="47"/>
      <c r="D105" s="44"/>
      <c r="E105" s="44"/>
      <c r="F105" s="44"/>
      <c r="G105" s="44"/>
      <c r="H105" s="44"/>
    </row>
    <row r="106" spans="1:8" ht="31.2">
      <c r="A106" s="54" t="s">
        <v>154</v>
      </c>
      <c r="B106" s="56" t="s">
        <v>236</v>
      </c>
      <c r="C106" s="19" t="s">
        <v>237</v>
      </c>
      <c r="D106" s="44"/>
      <c r="E106" s="44"/>
      <c r="F106" s="44"/>
      <c r="G106" s="44"/>
      <c r="H106" s="44"/>
    </row>
    <row r="107" spans="1:8" ht="62.4">
      <c r="A107" s="54" t="s">
        <v>76</v>
      </c>
      <c r="B107" s="56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2">
      <c r="A108" s="54" t="s">
        <v>77</v>
      </c>
      <c r="B108" s="56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77">
        <v>1</v>
      </c>
      <c r="B110" s="81" t="s">
        <v>258</v>
      </c>
      <c r="C110" s="19" t="s">
        <v>241</v>
      </c>
      <c r="D110" s="44"/>
      <c r="E110" s="44"/>
      <c r="F110" s="44"/>
      <c r="G110" s="44"/>
      <c r="H110" s="44"/>
    </row>
    <row r="111" spans="1:8" ht="31.2">
      <c r="A111" s="77"/>
      <c r="B111" s="82"/>
      <c r="C111" s="47" t="s">
        <v>259</v>
      </c>
      <c r="D111" s="44"/>
      <c r="E111" s="61" t="e">
        <f>E110/D110*100</f>
        <v>#DIV/0!</v>
      </c>
      <c r="F111" s="61" t="e">
        <f>F110/E110*100</f>
        <v>#DIV/0!</v>
      </c>
      <c r="G111" s="61" t="e">
        <f>G110/F110*100</f>
        <v>#DIV/0!</v>
      </c>
      <c r="H111" s="61" t="e">
        <f>H110/G110*100</f>
        <v>#DIV/0!</v>
      </c>
    </row>
    <row r="112" spans="1:8" ht="31.2">
      <c r="A112" s="58" t="s">
        <v>76</v>
      </c>
      <c r="B112" s="55" t="s">
        <v>177</v>
      </c>
      <c r="C112" s="47"/>
      <c r="D112" s="44"/>
      <c r="E112" s="44"/>
      <c r="F112" s="44"/>
      <c r="G112" s="44"/>
      <c r="H112" s="44"/>
    </row>
    <row r="113" spans="1:8" ht="31.2">
      <c r="A113" s="58" t="s">
        <v>63</v>
      </c>
      <c r="B113" s="55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58" t="s">
        <v>64</v>
      </c>
      <c r="B114" s="55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58" t="s">
        <v>65</v>
      </c>
      <c r="B115" s="55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2">
      <c r="A116" s="58" t="s">
        <v>66</v>
      </c>
      <c r="B116" s="55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6.8">
      <c r="A117" s="58" t="s">
        <v>68</v>
      </c>
      <c r="B117" s="55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58" t="s">
        <v>69</v>
      </c>
      <c r="B118" s="55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31.2">
      <c r="A119" s="58" t="s">
        <v>70</v>
      </c>
      <c r="B119" s="55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2">
      <c r="A120" s="58" t="s">
        <v>71</v>
      </c>
      <c r="B120" s="55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58" t="s">
        <v>72</v>
      </c>
      <c r="B121" s="55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2">
      <c r="A122" s="58" t="s">
        <v>73</v>
      </c>
      <c r="B122" s="55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58" t="s">
        <v>178</v>
      </c>
      <c r="B123" s="55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2">
      <c r="A124" s="58" t="s">
        <v>179</v>
      </c>
      <c r="B124" s="55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2">
      <c r="A125" s="58" t="s">
        <v>180</v>
      </c>
      <c r="B125" s="55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2">
      <c r="A126" s="58" t="s">
        <v>181</v>
      </c>
      <c r="B126" s="55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6.8">
      <c r="A127" s="58" t="s">
        <v>182</v>
      </c>
      <c r="B127" s="55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58" t="s">
        <v>183</v>
      </c>
      <c r="B128" s="55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2">
      <c r="A129" s="58" t="s">
        <v>184</v>
      </c>
      <c r="B129" s="55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2">
      <c r="A130" s="58" t="s">
        <v>185</v>
      </c>
      <c r="B130" s="55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58" t="s">
        <v>186</v>
      </c>
      <c r="B131" s="55" t="s">
        <v>116</v>
      </c>
      <c r="C131" s="19" t="s">
        <v>241</v>
      </c>
      <c r="D131" s="44">
        <f>D110-SUM(D113:D130)</f>
        <v>0</v>
      </c>
      <c r="E131" s="4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2">
      <c r="A132" s="51" t="s">
        <v>77</v>
      </c>
      <c r="B132" s="56" t="s">
        <v>160</v>
      </c>
      <c r="C132" s="19" t="s">
        <v>241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>
      <c r="A133" s="51" t="s">
        <v>49</v>
      </c>
      <c r="B133" s="56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51" t="s">
        <v>50</v>
      </c>
      <c r="B134" s="56" t="s">
        <v>31</v>
      </c>
      <c r="C134" s="19" t="s">
        <v>241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56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51" t="s">
        <v>245</v>
      </c>
      <c r="B136" s="56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51" t="s">
        <v>246</v>
      </c>
      <c r="B137" s="56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51" t="s">
        <v>247</v>
      </c>
      <c r="B138" s="56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51" t="s">
        <v>244</v>
      </c>
      <c r="B139" s="56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2">
      <c r="A140" s="21" t="s">
        <v>35</v>
      </c>
      <c r="B140" s="59" t="s">
        <v>250</v>
      </c>
      <c r="C140" s="20"/>
      <c r="D140" s="20"/>
      <c r="E140" s="20"/>
      <c r="F140" s="20"/>
      <c r="G140" s="20"/>
      <c r="H140" s="20"/>
    </row>
    <row r="141" spans="1:8" ht="31.2">
      <c r="A141" s="57">
        <v>1</v>
      </c>
      <c r="B141" s="56" t="s">
        <v>253</v>
      </c>
      <c r="C141" s="19" t="s">
        <v>241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>
      <c r="A142" s="18" t="s">
        <v>44</v>
      </c>
      <c r="B142" s="56" t="s">
        <v>37</v>
      </c>
      <c r="C142" s="19" t="s">
        <v>241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>
      <c r="A143" s="18" t="s">
        <v>91</v>
      </c>
      <c r="B143" s="56" t="s">
        <v>190</v>
      </c>
      <c r="C143" s="19" t="s">
        <v>241</v>
      </c>
      <c r="D143" s="44"/>
      <c r="E143" s="44"/>
      <c r="F143" s="44"/>
      <c r="G143" s="44"/>
      <c r="H143" s="44"/>
    </row>
    <row r="144" spans="1:8">
      <c r="A144" s="18" t="s">
        <v>67</v>
      </c>
      <c r="B144" s="56" t="s">
        <v>191</v>
      </c>
      <c r="C144" s="19" t="s">
        <v>241</v>
      </c>
      <c r="D144" s="44"/>
      <c r="E144" s="44"/>
      <c r="F144" s="44"/>
      <c r="G144" s="44"/>
      <c r="H144" s="44"/>
    </row>
    <row r="145" spans="1:16384">
      <c r="A145" s="18" t="s">
        <v>45</v>
      </c>
      <c r="B145" s="56" t="s">
        <v>117</v>
      </c>
      <c r="C145" s="19" t="s">
        <v>241</v>
      </c>
      <c r="D145" s="44"/>
      <c r="E145" s="44"/>
      <c r="F145" s="44"/>
      <c r="G145" s="44"/>
      <c r="H145" s="44"/>
    </row>
    <row r="146" spans="1:16384" ht="31.2">
      <c r="A146" s="51">
        <v>2</v>
      </c>
      <c r="B146" s="56" t="s">
        <v>251</v>
      </c>
      <c r="C146" s="19" t="s">
        <v>241</v>
      </c>
      <c r="D146" s="44"/>
      <c r="E146" s="44"/>
      <c r="F146" s="44"/>
      <c r="G146" s="44"/>
      <c r="H146" s="44"/>
    </row>
    <row r="147" spans="1:16384">
      <c r="A147" s="51" t="s">
        <v>63</v>
      </c>
      <c r="B147" s="3" t="s">
        <v>257</v>
      </c>
      <c r="C147" s="19" t="s">
        <v>241</v>
      </c>
      <c r="D147" s="44"/>
      <c r="E147" s="44"/>
      <c r="F147" s="44"/>
      <c r="G147" s="44"/>
      <c r="H147" s="44"/>
    </row>
    <row r="148" spans="1:16384" ht="31.2">
      <c r="A148" s="51">
        <v>3</v>
      </c>
      <c r="B148" s="56" t="s">
        <v>252</v>
      </c>
      <c r="C148" s="19" t="s">
        <v>241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>
      <c r="A149" s="51" t="s">
        <v>78</v>
      </c>
      <c r="B149" s="56" t="s">
        <v>88</v>
      </c>
      <c r="C149" s="19" t="s">
        <v>241</v>
      </c>
      <c r="D149" s="44"/>
      <c r="E149" s="44"/>
      <c r="F149" s="44"/>
      <c r="G149" s="44"/>
      <c r="H149" s="44"/>
    </row>
    <row r="150" spans="1:16384">
      <c r="A150" s="11" t="s">
        <v>243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2">
      <c r="A151" s="51">
        <v>1</v>
      </c>
      <c r="B151" s="56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6.8">
      <c r="A152" s="51" t="s">
        <v>76</v>
      </c>
      <c r="B152" s="56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2">
      <c r="A153" s="51" t="s">
        <v>77</v>
      </c>
      <c r="B153" s="56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6.8">
      <c r="A154" s="51" t="s">
        <v>78</v>
      </c>
      <c r="B154" s="56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2">
      <c r="A155" s="57" t="s">
        <v>79</v>
      </c>
      <c r="B155" s="56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76" t="s">
        <v>84</v>
      </c>
      <c r="B156" s="73" t="s">
        <v>188</v>
      </c>
      <c r="C156" s="19" t="s">
        <v>163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76"/>
      <c r="B157" s="7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2">
      <c r="A158" s="58" t="s">
        <v>85</v>
      </c>
      <c r="B158" s="55" t="s">
        <v>189</v>
      </c>
      <c r="C158" s="47" t="s">
        <v>241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2020-11-08T05:07:52Z</dcterms:modified>
  <cp:contentStatus>проект</cp:contentStatus>
</cp:coreProperties>
</file>